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61cc56b4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75831cd037694bd8"/>
    <x:sheet xmlns:r="http://schemas.openxmlformats.org/officeDocument/2006/relationships" name="Instructions" sheetId="2" r:id="Rfbfb7c68680845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($#,##0.00);&quot;–&quot;"/>
    <x:numFmt numFmtId="201" formatCode="#,##0.0000;(#,##0.0000);&quot;–&quot;"/>
    <x:numFmt numFmtId="202" formatCode="0.0%;(0.0%);&quot;–&quot;"/>
    <x:numFmt numFmtId="203" formatCode="0.00;(0.00);0.00"/>
    <x:numFmt numFmtId="204" formatCode="#,##0;(#,##0);&quot;–&quot;"/>
    <x:numFmt numFmtId="205" formatCode="$0.0000;($0.0000);&quot;–&quot;"/>
  </x:numFmts>
  <x:fonts count="10">
    <x:font>
      <x:sz val="11"/>
      <x:name val="Carlito"/>
    </x:font>
    <x:font>
      <x:sz val="11"/>
      <x:color rgb="FF172433"/>
      <x:name val="Arial"/>
    </x:font>
    <x:font>
      <x:b/>
      <x:sz val="16"/>
      <x:color rgb="FF142B45"/>
      <x:name val="Arial"/>
    </x:font>
    <x:font>
      <x:i/>
      <x:sz val="11"/>
      <x:color rgb="FF172433"/>
      <x:name val="Arial"/>
    </x:font>
    <x:font>
      <x:b/>
      <x:sz val="11"/>
      <x:color rgb="FF9A3412"/>
      <x:name val="Arial"/>
    </x:font>
    <x:font>
      <x:sz val="10"/>
      <x:color rgb="FF64748B"/>
      <x:name val="Arial"/>
    </x:font>
    <x:font>
      <x:b/>
      <x:sz val="11"/>
      <x:color rgb="FFFFFFFF"/>
      <x:name val="Arial"/>
    </x:font>
    <x:font>
      <x:sz val="11"/>
      <x:color rgb="FF1557BD"/>
      <x:name val="Arial"/>
    </x:font>
    <x:font>
      <x:i/>
      <x:sz val="11"/>
      <x:color rgb="FF1557BD"/>
      <x:name val="Arial"/>
    </x:font>
    <x:font>
      <x:b/>
      <x:sz val="11"/>
      <x:color rgb="FF1724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B45"/>
      </x:patternFill>
    </x:fill>
    <x:fill>
      <x:patternFill patternType="solid">
        <x:fgColor rgb="FFFFF1C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9A6BA"/>
      </x:bottom>
      <x:diagonal/>
    </x:border>
    <x:border>
      <x:left/>
      <x:right/>
      <x:top style="thin">
        <x:color rgb="FFCBD5E1"/>
      </x:top>
      <x:bottom/>
      <x:diagonal/>
    </x:border>
    <x:border>
      <x:left/>
      <x:right/>
      <x:top/>
      <x:bottom style="thin">
        <x:color rgb="FFDCE5ED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horizontal="right" vertical="center" wrapText="0"/>
    </x:xf>
    <x:xf numFmtId="0" fontId="6" fillId="2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right" vertical="center" wrapText="0"/>
    </x:xf>
    <x:xf numFmtId="0" fontId="7" fillId="3" borderId="0" xfId="0" applyNumberFormat="1" applyFont="1" applyFill="1" applyBorder="1" applyAlignment="1">
      <x:alignment horizontal="right" vertical="center" wrapText="0"/>
    </x:xf>
    <x:xf numFmtId="200" fontId="7" fillId="3" borderId="0" xfId="0" applyNumberFormat="1" applyFont="1" applyFill="1" applyBorder="1" applyAlignment="1">
      <x:alignment horizontal="right" vertical="center" wrapText="0"/>
    </x:xf>
    <x:xf numFmtId="201" fontId="7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horizontal="right" vertical="center" wrapText="0"/>
    </x:xf>
    <x:xf numFmtId="0" fontId="6" fillId="2" borderId="0" xfId="0" applyNumberFormat="1" applyFont="1" applyFill="1" applyBorder="1" applyAlignment="1">
      <x:alignment horizontal="center"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200" fontId="1" fillId="0" borderId="2" xfId="0" applyNumberFormat="1" applyFont="1" applyFill="1" applyBorder="1" applyAlignment="1">
      <x:alignment horizontal="right" vertical="center" wrapText="0"/>
    </x:xf>
    <x:xf numFmtId="204" fontId="7" fillId="3" borderId="0" xfId="0" applyNumberFormat="1" applyFont="1" applyFill="1" applyBorder="1" applyAlignment="1">
      <x:alignment horizontal="right" vertical="center" wrapText="0"/>
    </x:xf>
    <x:xf numFmtId="205" fontId="1" fillId="0" borderId="0" xfId="0" applyNumberFormat="1" applyFont="1" applyFill="1" applyBorder="1" applyAlignment="1">
      <x:alignment horizontal="right" vertical="center" wrapText="0"/>
    </x:xf>
    <x:xf numFmtId="204" fontId="1" fillId="0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0" fontId="9" fillId="0" borderId="0" xfId="0" applyNumberFormat="1" applyFont="1" applyFill="1" applyBorder="1" applyAlignment="1">
      <x:alignment vertical="center" wrapText="0"/>
    </x:xf>
    <x:xf numFmtId="200" fontId="9" fillId="0" borderId="0" xfId="0" applyNumberFormat="1" applyFont="1" applyFill="1" applyBorder="1" applyAlignment="1">
      <x:alignment horizontal="right" vertical="center" wrapText="0"/>
    </x:xf>
    <x:xf numFmtId="0" fontId="9" fillId="0" borderId="3" xfId="0" applyNumberFormat="1" applyFont="1" applyFill="1" applyBorder="1" applyAlignment="1">
      <x:alignment vertical="center" wrapText="0"/>
    </x:xf>
    <x:xf numFmtId="200" fontId="9" fillId="0" borderId="3" xfId="0" applyNumberFormat="1" applyFont="1" applyFill="1" applyBorder="1" applyAlignment="1">
      <x:alignment horizontal="right" vertical="center" wrapText="0"/>
    </x:xf>
    <x:xf numFmtId="204" fontId="9" fillId="0" borderId="0" xfId="0" applyNumberFormat="1" applyFont="1" applyFill="1" applyBorder="1" applyAlignment="1">
      <x:alignment horizontal="right" vertical="center" wrapText="0"/>
    </x:xf>
    <x:xf numFmtId="204" fontId="9" fillId="0" borderId="3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37b5556ee4177" /><Relationship Type="http://schemas.openxmlformats.org/officeDocument/2006/relationships/theme" Target="/xl/theme/theme1.xml" Id="R10ffe1dee02c49bb" /><Relationship Type="http://schemas.openxmlformats.org/officeDocument/2006/relationships/sharedStrings" Target="/xl/sharedStrings.xml" Id="Ra6b78e30c10d4f8d" /><Relationship Type="http://schemas.openxmlformats.org/officeDocument/2006/relationships/worksheet" Target="/xl/worksheets/sheet1.xml" Id="R75831cd037694bd8" /><Relationship Type="http://schemas.openxmlformats.org/officeDocument/2006/relationships/worksheet" Target="/xl/worksheets/sheet2.xml" Id="Rfbfb7c68680845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B4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4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5" hidden="0" customWidth="1"/>
  </x:cols>
  <x:sheetData>
    <x:row r="1" ht="24" customHeight="1">
      <x:c r="A1" s="3"/>
      <x:c r="B1" s="3"/>
      <x:c r="C1" s="4"/>
      <x:c r="D1" s="4"/>
      <x:c r="E1" s="4"/>
      <x:c r="F1" s="4"/>
      <x:c r="G1" s="4"/>
      <x:c r="H1" s="3"/>
    </x:row>
    <x:row r="2" ht="24" customHeight="1">
      <x:c r="A2" s="3"/>
      <x:c r="B2" s="5" t="str">
        <x:v>DN Treasury Cash and Inventory Planner</x:v>
      </x:c>
      <x:c r="C2" s="4"/>
      <x:c r="D2" s="4"/>
      <x:c r="E2" s="4"/>
      <x:c r="F2" s="4"/>
      <x:c r="G2" s="4"/>
      <x:c r="H2" s="3"/>
    </x:row>
    <x:row r="3" ht="24" customHeight="1">
      <x:c r="A3" s="3"/>
      <x:c r="B3" s="6"/>
      <x:c r="C3" s="7"/>
      <x:c r="D3" s="7"/>
      <x:c r="E3" s="7"/>
      <x:c r="F3" s="7"/>
      <x:c r="G3" s="7"/>
      <x:c r="H3" s="6"/>
    </x:row>
    <x:row r="4" ht="24" customHeight="1">
      <x:c r="A4" s="3"/>
      <x:c r="B4" s="8" t="str">
        <x:v>Synthetic USD spot-market examples. EXAMPLE is an invented asset.</x:v>
      </x:c>
      <x:c r="C4" s="4"/>
      <x:c r="D4" s="4"/>
      <x:c r="E4" s="4"/>
      <x:c r="F4" s="4"/>
      <x:c r="G4" s="4"/>
      <x:c r="H4" s="3"/>
    </x:row>
    <x:row r="5" ht="24" customHeight="1">
      <x:c r="A5" s="3"/>
      <x:c r="B5" s="33" t="str">
        <x:v>Banked operating buffer</x:v>
      </x:c>
      <x:c r="C5" s="34" t="n">
        <x:f>C39</x:f>
        <x:v>4000</x:v>
      </x:c>
      <x:c r="D5" s="4"/>
      <x:c r="E5" s="4" t="str">
        <x:v>Already banked cash less the next 30 days of operating bills.</x:v>
      </x:c>
      <x:c r="F5" s="4"/>
      <x:c r="G5" s="4"/>
      <x:c r="H5" s="3"/>
    </x:row>
    <x:row r="6" ht="24" customHeight="1">
      <x:c r="A6" s="3"/>
      <x:c r="B6" s="33" t="str">
        <x:v>Venue free quote balance</x:v>
      </x:c>
      <x:c r="C6" s="34" t="n">
        <x:f>IF(ISNUMBER(C18),C18,"n.a.")</x:f>
        <x:v>3497</x:v>
      </x:c>
      <x:c r="D6" s="4"/>
      <x:c r="E6" s="4" t="str">
        <x:v>Exchange ledger availability. Withdrawability remains separate.</x:v>
      </x:c>
      <x:c r="F6" s="4"/>
      <x:c r="G6" s="4"/>
      <x:c r="H6" s="3"/>
    </x:row>
    <x:row r="7" ht="24" customHeight="1">
      <x:c r="A7" s="3"/>
      <x:c r="B7" s="33" t="str">
        <x:v>Provisional planning headroom</x:v>
      </x:c>
      <x:c r="C7" s="34" t="n">
        <x:f>C37</x:f>
        <x:v>2997</x:v>
      </x:c>
      <x:c r="D7" s="4"/>
      <x:c r="E7" s="4" t="str">
        <x:v>A positive amount does not authorize new quoting.</x:v>
      </x:c>
      <x:c r="F7" s="4"/>
      <x:c r="G7" s="4"/>
      <x:c r="H7" s="3"/>
    </x:row>
    <x:row r="8" ht="24" customHeight="1">
      <x:c r="A8" s="3"/>
      <x:c r="B8" s="33" t="str">
        <x:v>Conditional inventory exit proceeds</x:v>
      </x:c>
      <x:c r="C8" s="34" t="n">
        <x:f>C44</x:f>
        <x:v>1896.2</x:v>
      </x:c>
      <x:c r="D8" s="4"/>
      <x:c r="E8" s="4" t="str">
        <x:v>Modeled full-inventory sale. Excludes execution or settlement proof.</x:v>
      </x:c>
      <x:c r="F8" s="4"/>
      <x:c r="G8" s="4"/>
      <x:c r="H8" s="3"/>
    </x:row>
    <x:row r="9" ht="24" customHeight="1">
      <x:c r="A9" s="3"/>
      <x:c r="B9" s="10" t="str">
        <x:f>B54</x:f>
        <x:v>Pause: reconcile the unresolved request before new quoting</x:v>
      </x:c>
      <x:c r="C9" s="11"/>
      <x:c r="D9" s="11"/>
      <x:c r="E9" s="11"/>
      <x:c r="F9" s="11"/>
      <x:c r="G9" s="11"/>
      <x:c r="H9" s="10"/>
    </x:row>
    <x:row r="10" ht="24" customHeight="1">
      <x:c r="A10" s="3"/>
      <x:c r="B10" s="12" t="str">
        <x:v>Blue text on pale amber is editable. Black values are formulas. Read Instructions before replacing the example.</x:v>
      </x:c>
      <x:c r="C10" s="4"/>
      <x:c r="D10" s="4"/>
      <x:c r="E10" s="4"/>
      <x:c r="F10" s="4"/>
      <x:c r="G10" s="4"/>
      <x:c r="H10" s="3"/>
    </x:row>
    <x:row r="11" ht="24" customHeight="1">
      <x:c r="A11" s="3"/>
      <x:c r="B11" s="3"/>
      <x:c r="C11" s="4"/>
      <x:c r="D11" s="4"/>
      <x:c r="E11" s="4"/>
      <x:c r="F11" s="4"/>
      <x:c r="G11" s="4"/>
      <x:c r="H11" s="3"/>
    </x:row>
    <x:row r="12" ht="27" customHeight="1">
      <x:c r="A12" s="3"/>
      <x:c r="B12" s="15" t="str">
        <x:v>1. Cash snapshot inputs</x:v>
      </x:c>
      <x:c r="C12" s="16"/>
      <x:c r="D12" s="16"/>
      <x:c r="E12" s="16"/>
      <x:c r="F12" s="16"/>
      <x:c r="G12" s="16"/>
      <x:c r="H12" s="15"/>
    </x:row>
    <x:row r="13" ht="24" customHeight="1">
      <x:c r="A13" s="3"/>
      <x:c r="B13" s="3"/>
      <x:c r="C13" s="4"/>
      <x:c r="D13" s="4"/>
      <x:c r="E13" s="4"/>
      <x:c r="F13" s="4"/>
      <x:c r="G13" s="4"/>
      <x:c r="H13" s="3"/>
    </x:row>
    <x:row r="14" ht="24" customHeight="1">
      <x:c r="A14" s="3"/>
      <x:c r="B14" s="3" t="str">
        <x:v>Bank operating cash</x:v>
      </x:c>
      <x:c r="C14" s="19" t="n">
        <x:v>12000</x:v>
      </x:c>
      <x:c r="D14" s="4"/>
      <x:c r="E14" s="4" t="str">
        <x:v>Use already-settled bank cash. Keep strategy capital separate.</x:v>
      </x:c>
      <x:c r="F14" s="4"/>
      <x:c r="G14" s="4"/>
      <x:c r="H14" s="3"/>
    </x:row>
    <x:row r="15" ht="24" customHeight="1">
      <x:c r="A15" s="3"/>
      <x:c r="B15" s="3" t="str">
        <x:v>Operating bills due in next 30 days</x:v>
      </x:c>
      <x:c r="C15" s="19" t="n">
        <x:v>8000</x:v>
      </x:c>
      <x:c r="D15" s="4"/>
      <x:c r="E15" s="4" t="str">
        <x:v>Use the same bank currency and horizon.</x:v>
      </x:c>
      <x:c r="F15" s="4"/>
      <x:c r="G15" s="4"/>
      <x:c r="H15" s="3"/>
    </x:row>
    <x:row r="16" ht="24" customHeight="1">
      <x:c r="A16" s="3"/>
      <x:c r="B16" s="3" t="str">
        <x:v>Total exchange quote ledger balance</x:v>
      </x:c>
      <x:c r="C16" s="19" t="n">
        <x:v>5000</x:v>
      </x:c>
      <x:c r="D16" s="4"/>
      <x:c r="E16" s="4" t="str">
        <x:v>Synthetic Q. Same account, quote currency and timestamp as H and F.</x:v>
      </x:c>
      <x:c r="F16" s="4"/>
      <x:c r="G16" s="4"/>
      <x:c r="H16" s="3"/>
    </x:row>
    <x:row r="17" ht="24" customHeight="1">
      <x:c r="A17" s="3"/>
      <x:c r="B17" s="3" t="str">
        <x:v>Outstanding bid holds</x:v>
      </x:c>
      <x:c r="C17" s="19" t="n">
        <x:v>1503</x:v>
      </x:c>
      <x:c r="D17" s="4"/>
      <x:c r="E17" s="4" t="str">
        <x:v>Synthetic H. Includes the fee reserve in this example.</x:v>
      </x:c>
      <x:c r="F17" s="4"/>
      <x:c r="G17" s="4"/>
      <x:c r="H17" s="3"/>
    </x:row>
    <x:row r="18" ht="24" customHeight="1">
      <x:c r="A18" s="3"/>
      <x:c r="B18" s="3" t="str">
        <x:v>Venue free quote balance</x:v>
      </x:c>
      <x:c r="C18" s="19" t="n">
        <x:v>3497</x:v>
      </x:c>
      <x:c r="D18" s="4"/>
      <x:c r="E18" s="4" t="str">
        <x:v>Synthetic F. Do not subtract H again from this already-free amount.</x:v>
      </x:c>
      <x:c r="F18" s="4"/>
      <x:c r="G18" s="4"/>
      <x:c r="H18" s="3"/>
    </x:row>
    <x:row r="19" ht="24" customHeight="1">
      <x:c r="A19" s="3"/>
      <x:c r="B19" s="3" t="str">
        <x:v>Reserve for a distinct unknown request</x:v>
      </x:c>
      <x:c r="C19" s="19" t="n">
        <x:v>500</x:v>
      </x:c>
      <x:c r="D19" s="4"/>
      <x:c r="E19" s="4" t="str">
        <x:v>Only the amount absent from observed holds, free balance and debits.</x:v>
      </x:c>
      <x:c r="F19" s="4"/>
      <x:c r="G19" s="4"/>
      <x:c r="H19" s="3"/>
    </x:row>
    <x:row r="20" ht="24" customHeight="1">
      <x:c r="A20" s="3"/>
      <x:c r="B20" s="3" t="str">
        <x:v>Reserve already reflected in free balance?</x:v>
      </x:c>
      <x:c r="C20" s="18" t="str">
        <x:v>No</x:v>
      </x:c>
      <x:c r="D20" s="4"/>
      <x:c r="E20" s="4" t="str">
        <x:v>If Yes, the formula applies no second reserve.</x:v>
      </x:c>
      <x:c r="F20" s="4"/>
      <x:c r="G20" s="4"/>
      <x:c r="H20" s="3"/>
    </x:row>
    <x:row r="21" ht="24" customHeight="1">
      <x:c r="A21" s="3"/>
      <x:c r="B21" s="3" t="str">
        <x:v>Unresolved request still present?</x:v>
      </x:c>
      <x:c r="C21" s="18" t="str">
        <x:v>Yes</x:v>
      </x:c>
      <x:c r="D21" s="4"/>
      <x:c r="E21" s="4" t="str">
        <x:v>If Yes or Unknown, pause and reconcile before further quoting.</x:v>
      </x:c>
      <x:c r="F21" s="4"/>
      <x:c r="G21" s="4"/>
      <x:c r="H21" s="3"/>
    </x:row>
    <x:row r="22" ht="24" customHeight="1">
      <x:c r="A22" s="3"/>
      <x:c r="B22" s="3" t="str">
        <x:v>Total base inventory (EXAMPLE units)</x:v>
      </x:c>
      <x:c r="C22" s="20" t="n">
        <x:v>20</x:v>
      </x:c>
      <x:c r="D22" s="4"/>
      <x:c r="E22" s="4" t="str">
        <x:v>Includes the ask-held subset below. No base-paid fees are assumed.</x:v>
      </x:c>
      <x:c r="F22" s="4"/>
      <x:c r="G22" s="4"/>
      <x:c r="H22" s="3"/>
    </x:row>
    <x:row r="23" ht="24" customHeight="1">
      <x:c r="A23" s="3"/>
      <x:c r="B23" s="3" t="str">
        <x:v>Ask-held base units (subset)</x:v>
      </x:c>
      <x:c r="C23" s="20" t="n">
        <x:v>5</x:v>
      </x:c>
      <x:c r="D23" s="4"/>
      <x:c r="E23" s="4" t="str">
        <x:v>Unfilled asks generate no quote proceeds in this model.</x:v>
      </x:c>
      <x:c r="F23" s="4"/>
      <x:c r="G23" s="4"/>
      <x:c r="H23" s="3"/>
    </x:row>
    <x:row r="24" ht="24" customHeight="1">
      <x:c r="A24" s="3"/>
      <x:c r="B24" s="3" t="str">
        <x:v>Current mark (USD per unit)</x:v>
      </x:c>
      <x:c r="C24" s="19" t="n">
        <x:v>100</x:v>
      </x:c>
      <x:c r="D24" s="4"/>
      <x:c r="E24" s="4" t="str">
        <x:v>An assumed valuation. It is not an executable sale price.</x:v>
      </x:c>
      <x:c r="F24" s="4"/>
      <x:c r="G24" s="4"/>
      <x:c r="H24" s="3"/>
    </x:row>
    <x:row r="25" ht="24" customHeight="1">
      <x:c r="A25" s="3"/>
      <x:c r="B25" s="3" t="str">
        <x:v>Assumed exit price (USD per unit)</x:v>
      </x:c>
      <x:c r="C25" s="19" t="n">
        <x:v>95</x:v>
      </x:c>
      <x:c r="D25" s="4"/>
      <x:c r="E25" s="4" t="str">
        <x:v>Average price for a hypothetical sale of all inventory.</x:v>
      </x:c>
      <x:c r="F25" s="4"/>
      <x:c r="G25" s="4"/>
      <x:c r="H25" s="3"/>
    </x:row>
    <x:row r="26" ht="24" customHeight="1">
      <x:c r="A26" s="3"/>
      <x:c r="B26" s="8" t="str">
        <x:v>Exit fee rate, paid in quote</x:v>
      </x:c>
      <x:c r="C26" s="30" t="n">
        <x:v>0.002</x:v>
      </x:c>
      <x:c r="D26" s="4"/>
      <x:c r="E26" s="4" t="str">
        <x:v>Synthetic 0.2%. Replace with the actual fee basis and fee asset.</x:v>
      </x:c>
      <x:c r="F26" s="4"/>
      <x:c r="G26" s="4"/>
      <x:c r="H26" s="3"/>
    </x:row>
    <x:row r="27" ht="24" customHeight="1">
      <x:c r="A27" s="3"/>
      <x:c r="B27" s="3" t="str">
        <x:v>Adverse mark (USD per unit)</x:v>
      </x:c>
      <x:c r="C27" s="19" t="n">
        <x:v>80</x:v>
      </x:c>
      <x:c r="D27" s="4"/>
      <x:c r="E27" s="4" t="str">
        <x:v>A separate hypothetical price decline.</x:v>
      </x:c>
      <x:c r="F27" s="4"/>
      <x:c r="G27" s="4"/>
      <x:c r="H27" s="3"/>
    </x:row>
    <x:row r="28" ht="24" customHeight="1">
      <x:c r="A28" s="3"/>
      <x:c r="B28" s="3" t="str">
        <x:v>Adverse exit price (USD per unit)</x:v>
      </x:c>
      <x:c r="C28" s="19" t="n">
        <x:v>79</x:v>
      </x:c>
      <x:c r="D28" s="4"/>
      <x:c r="E28" s="4" t="str">
        <x:v>Another assumed average execution price, not a guaranteed exit.</x:v>
      </x:c>
      <x:c r="F28" s="4"/>
      <x:c r="G28" s="4"/>
      <x:c r="H28" s="3"/>
    </x:row>
    <x:row r="29" ht="24" customHeight="1">
      <x:c r="A29" s="3"/>
      <x:c r="B29" s="3" t="str">
        <x:v>Withdrawal status</x:v>
      </x:c>
      <x:c r="C29" s="18" t="str">
        <x:v>Unknown</x:v>
      </x:c>
      <x:c r="D29" s="4"/>
      <x:c r="E29" s="4" t="str">
        <x:v>Evidence for the account, asset, route, amount and current limits.</x:v>
      </x:c>
      <x:c r="F29" s="4"/>
      <x:c r="G29" s="4"/>
      <x:c r="H29" s="3"/>
    </x:row>
    <x:row r="30" ht="24" customHeight="1">
      <x:c r="A30" s="3"/>
      <x:c r="B30" s="3" t="str">
        <x:v>Exchange transfer settled to bank?</x:v>
      </x:c>
      <x:c r="C30" s="18" t="str">
        <x:v>No</x:v>
      </x:c>
      <x:c r="D30" s="4"/>
      <x:c r="E30" s="4" t="str">
        <x:v>Do not add modeled proceeds to bank operating cash.</x:v>
      </x:c>
      <x:c r="F30" s="4"/>
      <x:c r="G30" s="4"/>
      <x:c r="H30" s="3"/>
    </x:row>
    <x:row r="31" ht="24" customHeight="1">
      <x:c r="A31" s="3"/>
      <x:c r="B31" s="3" t="str">
        <x:v>Cash input evidence label</x:v>
      </x:c>
      <x:c r="C31" s="18" t="str">
        <x:v>Synthetic</x:v>
      </x:c>
      <x:c r="D31" s="4"/>
      <x:c r="E31" s="4" t="str">
        <x:v>Observed means timestamped readbacks were supplied by the user.</x:v>
      </x:c>
      <x:c r="F31" s="4"/>
      <x:c r="G31" s="4"/>
      <x:c r="H31" s="3"/>
    </x:row>
    <x:row r="32" ht="24" customHeight="1">
      <x:c r="A32" s="3"/>
      <x:c r="B32" s="3" t="str">
        <x:v>Inventory input status</x:v>
      </x:c>
      <x:c r="C32" s="4"/>
      <x:c r="D32" s="4"/>
      <x:c r="E32" s="4" t="str">
        <x:f>IF(COUNT(C22:C28)&lt;&gt;7,"Missing numeric input",IF(OR(MIN(C22:C28)&lt;0,C23&gt;C22,C26&gt;=1),"Invalid inventory input","Ready"))</x:f>
        <x:v>Ready</x:v>
      </x:c>
      <x:c r="F32" s="4"/>
      <x:c r="G32" s="4"/>
      <x:c r="H32" s="3"/>
    </x:row>
    <x:row r="33" ht="24" customHeight="1">
      <x:c r="A33" s="3"/>
      <x:c r="B33" s="3" t="str">
        <x:v>Cash input status</x:v>
      </x:c>
      <x:c r="C33" s="4"/>
      <x:c r="D33" s="4"/>
      <x:c r="E33" s="4" t="str">
        <x:f>IF(COUNT(C16:C19)&lt;&gt;4,"Missing numeric input",IF(MIN(C16:C19)&lt;0,"Invalid negative cash input",IF(ABS(C16-C17-C18)&gt;0.005,"Balance / holds / free do not reconcile",IF(AND(C20&lt;&gt;"Yes",C20&lt;&gt;"No"),"Reserve mapping unknown","Ready"))))</x:f>
        <x:v>Ready</x:v>
      </x:c>
      <x:c r="F33" s="4"/>
      <x:c r="G33" s="4"/>
      <x:c r="H33" s="3"/>
    </x:row>
    <x:row r="34" ht="24" customHeight="1">
      <x:c r="A34" s="3"/>
      <x:c r="B34" s="3"/>
      <x:c r="C34" s="4"/>
      <x:c r="D34" s="4"/>
      <x:c r="E34" s="4"/>
      <x:c r="F34" s="4"/>
      <x:c r="G34" s="4"/>
      <x:c r="H34" s="3"/>
    </x:row>
    <x:row r="35" ht="24" customHeight="1">
      <x:c r="A35" s="3"/>
      <x:c r="B35" s="3" t="str">
        <x:v>Separate reserve applied once</x:v>
      </x:c>
      <x:c r="C35" s="9" t="n">
        <x:f>IF(E33="Ready",IF(C20="Yes",0,C19),"n.a.")</x:f>
        <x:v>500</x:v>
      </x:c>
      <x:c r="D35" s="4"/>
      <x:c r="E35" s="4" t="str">
        <x:v>This local reserve is not an additional venue liability.</x:v>
      </x:c>
      <x:c r="F35" s="4"/>
      <x:c r="G35" s="4"/>
      <x:c r="H35" s="3"/>
    </x:row>
    <x:row r="36" ht="24" customHeight="1">
      <x:c r="A36" s="3"/>
      <x:c r="B36" s="3" t="str">
        <x:v>Raw planning headroom (signed)</x:v>
      </x:c>
      <x:c r="C36" s="9" t="n">
        <x:f>IF(ISNUMBER(C35),C18-C35,"n.a.")</x:f>
        <x:v>2997</x:v>
      </x:c>
      <x:c r="D36" s="4"/>
      <x:c r="E36" s="4" t="str">
        <x:v>Signed result preserves an insufficient-cash shortfall.</x:v>
      </x:c>
      <x:c r="F36" s="4"/>
      <x:c r="G36" s="4"/>
      <x:c r="H36" s="3"/>
    </x:row>
    <x:row r="37" ht="24" customHeight="1">
      <x:c r="A37" s="3"/>
      <x:c r="B37" s="33" t="str">
        <x:v>Provisional headroom, floored at zero</x:v>
      </x:c>
      <x:c r="C37" s="34" t="n">
        <x:f>IF(ISNUMBER(C36),MAX(0,C36),"n.a.")</x:f>
        <x:v>2997</x:v>
      </x:c>
      <x:c r="D37" s="4"/>
      <x:c r="E37" s="4" t="str">
        <x:v>Reconcile every unresolved request before authorizing further orders.</x:v>
      </x:c>
      <x:c r="F37" s="4"/>
      <x:c r="G37" s="4"/>
      <x:c r="H37" s="3"/>
    </x:row>
    <x:row r="38" ht="24" customHeight="1">
      <x:c r="A38" s="3"/>
      <x:c r="B38" s="3" t="str">
        <x:v>Quote shortfall after the reserve</x:v>
      </x:c>
      <x:c r="C38" s="9" t="n">
        <x:f>IF(ISNUMBER(C36),MAX(0,-C36),"n.a.")</x:f>
        <x:v>0</x:v>
      </x:c>
      <x:c r="D38" s="4"/>
      <x:c r="E38" s="4" t="str">
        <x:v>A positive shortfall means the reserve exceeds free quote.</x:v>
      </x:c>
      <x:c r="F38" s="4"/>
      <x:c r="G38" s="4"/>
      <x:c r="H38" s="3"/>
    </x:row>
    <x:row r="39" ht="24" customHeight="1">
      <x:c r="A39" s="3"/>
      <x:c r="B39" s="33" t="str">
        <x:v>Banked operating buffer</x:v>
      </x:c>
      <x:c r="C39" s="34" t="n">
        <x:f>IF(COUNT(C14:C15)=2,C14-C15,"n.a.")</x:f>
        <x:v>4000</x:v>
      </x:c>
      <x:c r="D39" s="4"/>
      <x:c r="E39" s="4" t="str">
        <x:v>This is the bank operating-cash calculation. It excludes exchange assets.</x:v>
      </x:c>
      <x:c r="F39" s="4"/>
      <x:c r="G39" s="4"/>
      <x:c r="H39" s="3"/>
    </x:row>
    <x:row r="40" ht="24" customHeight="1">
      <x:c r="A40" s="3"/>
      <x:c r="B40" s="3" t="str">
        <x:v>Free base inventory (EXAMPLE units)</x:v>
      </x:c>
      <x:c r="C40" s="22" t="n">
        <x:f>IF(E32="Ready",C22-C23,"n.a.")</x:f>
        <x:v>15</x:v>
      </x:c>
      <x:c r="D40" s="4"/>
      <x:c r="E40" s="4" t="str">
        <x:v>Ask-held units remain in total inventory, not a second asset.</x:v>
      </x:c>
      <x:c r="F40" s="4"/>
      <x:c r="G40" s="4"/>
      <x:c r="H40" s="3"/>
    </x:row>
    <x:row r="41" ht="24" customHeight="1">
      <x:c r="A41" s="3"/>
      <x:c r="B41" s="3" t="str">
        <x:v>Marked inventory value</x:v>
      </x:c>
      <x:c r="C41" s="9" t="n">
        <x:f>IF(E32="Ready",C22*C24,"n.a.")</x:f>
        <x:v>2000</x:v>
      </x:c>
      <x:c r="D41" s="4"/>
      <x:c r="E41" s="4" t="str">
        <x:v>Total base units multiplied by the assumed mark.</x:v>
      </x:c>
      <x:c r="F41" s="4"/>
      <x:c r="G41" s="4"/>
      <x:c r="H41" s="3"/>
    </x:row>
    <x:row r="42" ht="24" customHeight="1">
      <x:c r="A42" s="3"/>
      <x:c r="B42" s="3" t="str">
        <x:v>Conditional gross sale proceeds</x:v>
      </x:c>
      <x:c r="C42" s="9" t="n">
        <x:f>IF(E32="Ready",C22*C25,"n.a.")</x:f>
        <x:v>1900</x:v>
      </x:c>
      <x:c r="D42" s="4"/>
      <x:c r="E42" s="4" t="str">
        <x:v>All inventory must be free to sell. Depth and access are assumptions.</x:v>
      </x:c>
      <x:c r="F42" s="4"/>
      <x:c r="G42" s="4"/>
      <x:c r="H42" s="3"/>
    </x:row>
    <x:row r="43" ht="24" customHeight="1">
      <x:c r="A43" s="3"/>
      <x:c r="B43" s="3" t="str">
        <x:v>Conditional exit fee</x:v>
      </x:c>
      <x:c r="C43" s="9" t="n">
        <x:f>IF(ISNUMBER(C42),C42*C26,"n.a.")</x:f>
        <x:v>3.8000000000000003</x:v>
      </x:c>
      <x:c r="D43" s="4"/>
      <x:c r="E43" s="4" t="str">
        <x:v>Fee paid in quote. No separate slippage deduction is added.</x:v>
      </x:c>
      <x:c r="F43" s="4"/>
      <x:c r="G43" s="4"/>
      <x:c r="H43" s="3"/>
    </x:row>
    <x:row r="44" ht="24" customHeight="1">
      <x:c r="A44" s="3"/>
      <x:c r="B44" s="33" t="str">
        <x:v>Conditional net sale proceeds</x:v>
      </x:c>
      <x:c r="C44" s="34" t="n">
        <x:f>IF(COUNT(C42:C43)=2,C42-C43,"n.a.")</x:f>
        <x:v>1896.2</x:v>
      </x:c>
      <x:c r="D44" s="4"/>
      <x:c r="E44" s="4" t="str">
        <x:v>Replaces inventory value in an exit scenario. Never add both.</x:v>
      </x:c>
      <x:c r="F44" s="4"/>
      <x:c r="G44" s="4"/>
      <x:c r="H44" s="3"/>
    </x:row>
    <x:row r="45" ht="24" customHeight="1">
      <x:c r="A45" s="3"/>
      <x:c r="B45" s="3" t="str">
        <x:v>Gap from current inventory mark</x:v>
      </x:c>
      <x:c r="C45" s="9" t="n">
        <x:f>IF(AND(ISNUMBER(C41),ISNUMBER(C44)),C41-C44,"n.a.")</x:f>
        <x:v>103.79999999999995</x:v>
      </x:c>
      <x:c r="D45" s="4"/>
      <x:c r="E45" s="4" t="str">
        <x:v>A positive amount is below the current marked inventory value.</x:v>
      </x:c>
      <x:c r="F45" s="4"/>
      <x:c r="G45" s="4"/>
      <x:c r="H45" s="3"/>
    </x:row>
    <x:row r="46" ht="24" customHeight="1">
      <x:c r="A46" s="3"/>
      <x:c r="B46" s="3" t="str">
        <x:v>Inventory value at adverse mark</x:v>
      </x:c>
      <x:c r="C46" s="9" t="n">
        <x:f>IF(E32="Ready",C22*C27,"n.a.")</x:f>
        <x:v>1600</x:v>
      </x:c>
      <x:c r="D46" s="4"/>
      <x:c r="E46" s="4" t="str">
        <x:v>Hypothetical adverse mark, not cash.</x:v>
      </x:c>
      <x:c r="F46" s="4"/>
      <x:c r="G46" s="4"/>
      <x:c r="H46" s="3"/>
    </x:row>
    <x:row r="47" ht="24" customHeight="1">
      <x:c r="A47" s="3"/>
      <x:c r="B47" s="3" t="str">
        <x:v>Adverse gross exit proceeds</x:v>
      </x:c>
      <x:c r="C47" s="9" t="n">
        <x:f>IF(E32="Ready",C22*C28,"n.a.")</x:f>
        <x:v>1580</x:v>
      </x:c>
      <x:c r="D47" s="4"/>
      <x:c r="E47" s="4"/>
      <x:c r="F47" s="4"/>
      <x:c r="G47" s="4"/>
      <x:c r="H47" s="3"/>
    </x:row>
    <x:row r="48" ht="24" customHeight="1">
      <x:c r="A48" s="3"/>
      <x:c r="B48" s="3" t="str">
        <x:v>Adverse exit fee</x:v>
      </x:c>
      <x:c r="C48" s="9" t="n">
        <x:f>IF(ISNUMBER(C47),C47*C26,"n.a.")</x:f>
        <x:v>3.16</x:v>
      </x:c>
      <x:c r="D48" s="4"/>
      <x:c r="E48" s="4"/>
      <x:c r="F48" s="4"/>
      <x:c r="G48" s="4"/>
      <x:c r="H48" s="3"/>
    </x:row>
    <x:row r="49" ht="24" customHeight="1">
      <x:c r="A49" s="3"/>
      <x:c r="B49" s="33" t="str">
        <x:v>Adverse net exit proceeds</x:v>
      </x:c>
      <x:c r="C49" s="34" t="n">
        <x:f>IF(COUNT(C47:C48)=2,C47-C48,"n.a.")</x:f>
        <x:v>1576.84</x:v>
      </x:c>
      <x:c r="D49" s="4"/>
      <x:c r="E49" s="4" t="str">
        <x:v>Conditional proceeds after the assumed quote-paid fee.</x:v>
      </x:c>
      <x:c r="F49" s="4"/>
      <x:c r="G49" s="4"/>
      <x:c r="H49" s="3"/>
    </x:row>
    <x:row r="50" ht="24" customHeight="1">
      <x:c r="A50" s="3"/>
      <x:c r="B50" s="3" t="str">
        <x:v>Gap from adverse inventory mark</x:v>
      </x:c>
      <x:c r="C50" s="9" t="n">
        <x:f>IF(AND(ISNUMBER(C46),ISNUMBER(C49)),C46-C49,"n.a.")</x:f>
        <x:v>23.160000000000082</x:v>
      </x:c>
      <x:c r="D50" s="4"/>
      <x:c r="E50" s="4"/>
      <x:c r="F50" s="4"/>
      <x:c r="G50" s="4"/>
      <x:c r="H50" s="3"/>
    </x:row>
    <x:row r="51" ht="24" customHeight="1">
      <x:c r="A51" s="3"/>
      <x:c r="B51" s="33" t="str">
        <x:v>Exchange marked assets</x:v>
      </x:c>
      <x:c r="C51" s="34" t="n">
        <x:f>IF(AND(ISNUMBER(C16),ISNUMBER(C41)),SUM(C16,C41),"n.a.")</x:f>
        <x:v>7000</x:v>
      </x:c>
      <x:c r="D51" s="4"/>
      <x:c r="E51" s="4" t="str">
        <x:v>Quote ledger plus marked base inventory. Holds are already in Q.</x:v>
      </x:c>
      <x:c r="F51" s="4"/>
      <x:c r="G51" s="4"/>
      <x:c r="H51" s="3"/>
    </x:row>
    <x:row r="52" ht="24" customHeight="1">
      <x:c r="A52" s="3"/>
      <x:c r="B52" s="33" t="str">
        <x:v>Bank plus exchange marked assets</x:v>
      </x:c>
      <x:c r="C52" s="34" t="n">
        <x:f>IF(AND(ISNUMBER(C14),ISNUMBER(C51)),SUM(C14,C51),"n.a.")</x:f>
        <x:v>19000</x:v>
      </x:c>
      <x:c r="D52" s="4"/>
      <x:c r="E52" s="4" t="str">
        <x:v>This total is not settled bank cash or a payroll-funding conclusion.</x:v>
      </x:c>
      <x:c r="F52" s="4"/>
      <x:c r="G52" s="4"/>
      <x:c r="H52" s="3"/>
    </x:row>
    <x:row r="53" ht="24" customHeight="1">
      <x:c r="A53" s="3"/>
      <x:c r="B53" s="3" t="str">
        <x:v>Quote identity difference</x:v>
      </x:c>
      <x:c r="C53" s="23" t="n">
        <x:f>IF(COUNT(C16:C18)=3,C16-SUM(C17:C18),"n.a.")</x:f>
        <x:v>0</x:v>
      </x:c>
      <x:c r="D53" s="4"/>
      <x:c r="E53" s="4" t="str">
        <x:v>Model definition: Q = F + H. Reconcile pending states separately.</x:v>
      </x:c>
      <x:c r="F53" s="4"/>
      <x:c r="G53" s="4"/>
      <x:c r="H53" s="3"/>
    </x:row>
    <x:row r="54" ht="24" customHeight="1">
      <x:c r="A54" s="3"/>
      <x:c r="B54" s="10" t="str">
        <x:f>IF(COUNT(C14:C15)&lt;&gt;2,"Pause: missing operating cash or bill input",IF(C39&lt;0,"Pause: operating reserve is insufficient for stated bills",IF(E33&lt;&gt;"Ready","Pause: "&amp;E33,IF(C21="Yes","Pause: reconcile the unresolved request before new quoting",IF(C21&lt;&gt;"No","Pause: unresolved-request status is unknown",IF(C36&lt;0,"Insufficient free quote after the separate reserve","Arithmetic only: verify authority, venue state and withdrawal route"))))))</x:f>
        <x:v>Pause: reconcile the unresolved request before new quoting</x:v>
      </x:c>
      <x:c r="C54" s="11"/>
      <x:c r="D54" s="11"/>
      <x:c r="E54" s="11"/>
      <x:c r="F54" s="11"/>
      <x:c r="G54" s="11"/>
      <x:c r="H54" s="10"/>
    </x:row>
    <x:row r="55" ht="24" customHeight="1">
      <x:c r="A55" s="3"/>
      <x:c r="B55" s="8" t="str">
        <x:v>Trading availability, conditional sale proceeds and settled bank cash are separate evidence categories.</x:v>
      </x:c>
      <x:c r="C55" s="4"/>
      <x:c r="D55" s="4"/>
      <x:c r="E55" s="4"/>
      <x:c r="F55" s="4"/>
      <x:c r="G55" s="4"/>
      <x:c r="H55" s="3"/>
    </x:row>
    <x:row r="56" ht="24" customHeight="1">
      <x:c r="A56" s="3"/>
      <x:c r="B56" s="3"/>
      <x:c r="C56" s="4"/>
      <x:c r="D56" s="4"/>
      <x:c r="E56" s="4"/>
      <x:c r="F56" s="4"/>
      <x:c r="G56" s="4"/>
      <x:c r="H56" s="3"/>
    </x:row>
    <x:row r="57" ht="27" customHeight="1">
      <x:c r="A57" s="3"/>
      <x:c r="B57" s="15" t="str">
        <x:v>2. Partial fill and cancellation sequence</x:v>
      </x:c>
      <x:c r="C57" s="16"/>
      <x:c r="D57" s="16"/>
      <x:c r="E57" s="16"/>
      <x:c r="F57" s="16"/>
      <x:c r="G57" s="16"/>
      <x:c r="H57" s="15"/>
    </x:row>
    <x:row r="58" ht="24" customHeight="1">
      <x:c r="A58" s="3"/>
      <x:c r="B58" s="3" t="str">
        <x:v>Synthetic order sequence. Post-fill holds below are editable readback assumptions, not a universal venue formula.</x:v>
      </x:c>
      <x:c r="C58" s="4"/>
      <x:c r="D58" s="4"/>
      <x:c r="E58" s="4"/>
      <x:c r="F58" s="4"/>
      <x:c r="G58" s="4"/>
      <x:c r="H58" s="3"/>
    </x:row>
    <x:row r="59" ht="24" customHeight="1">
      <x:c r="A59" s="3"/>
      <x:c r="B59" s="3" t="str">
        <x:v>Initial limit-buy size (base units)</x:v>
      </x:c>
      <x:c r="C59" s="20" t="n">
        <x:v>15</x:v>
      </x:c>
      <x:c r="D59" s="4"/>
      <x:c r="E59" s="4" t="str">
        <x:v>One order is assumed to account for the opening bid hold.</x:v>
      </x:c>
      <x:c r="F59" s="4"/>
      <x:c r="G59" s="4"/>
      <x:c r="H59" s="3"/>
    </x:row>
    <x:row r="60" ht="24" customHeight="1">
      <x:c r="A60" s="3"/>
      <x:c r="B60" s="3" t="str">
        <x:v>Limit-buy execution price (USD/unit)</x:v>
      </x:c>
      <x:c r="C60" s="19" t="n">
        <x:v>100</x:v>
      </x:c>
      <x:c r="D60" s="4"/>
      <x:c r="E60" s="4" t="str">
        <x:v>Both example partial fills occur at this assumed price.</x:v>
      </x:c>
      <x:c r="F60" s="4"/>
      <x:c r="G60" s="4"/>
      <x:c r="H60" s="3"/>
    </x:row>
    <x:row r="61" ht="24" customHeight="1">
      <x:c r="A61" s="3"/>
      <x:c r="B61" s="8" t="str">
        <x:v>Quote-paid trading fee rate</x:v>
      </x:c>
      <x:c r="C61" s="30" t="n">
        <x:v>0.002</x:v>
      </x:c>
      <x:c r="D61" s="4"/>
      <x:c r="E61" s="4" t="str">
        <x:v>Synthetic fee for the buy fills and the initial hold example.</x:v>
      </x:c>
      <x:c r="F61" s="4"/>
      <x:c r="G61" s="4"/>
      <x:c r="H61" s="3"/>
    </x:row>
    <x:row r="62" ht="24" customHeight="1">
      <x:c r="A62" s="3"/>
      <x:c r="B62" s="3" t="str">
        <x:v>First partial fill (base units)</x:v>
      </x:c>
      <x:c r="C62" s="20" t="n">
        <x:v>6</x:v>
      </x:c>
      <x:c r="D62" s="4"/>
      <x:c r="E62" s="4" t="str">
        <x:v>A completed fill remains even if the remainder is later canceled.</x:v>
      </x:c>
      <x:c r="F62" s="4"/>
      <x:c r="G62" s="4"/>
      <x:c r="H62" s="3"/>
    </x:row>
    <x:row r="63" ht="24" customHeight="1">
      <x:c r="A63" s="3"/>
      <x:c r="B63" s="3" t="str">
        <x:v>Further fill before cancellation (units)</x:v>
      </x:c>
      <x:c r="C63" s="20" t="n">
        <x:v>2</x:v>
      </x:c>
      <x:c r="D63" s="4"/>
      <x:c r="E63" s="4" t="str">
        <x:v>Illustrates a fill racing with a cancellation request.</x:v>
      </x:c>
      <x:c r="F63" s="4"/>
      <x:c r="G63" s="4"/>
      <x:c r="H63" s="3"/>
    </x:row>
    <x:row r="64" ht="24" customHeight="1">
      <x:c r="A64" s="3"/>
      <x:c r="B64" s="3" t="str">
        <x:v>Final cancellation confirmed?</x:v>
      </x:c>
      <x:c r="C64" s="18" t="str">
        <x:v>Yes</x:v>
      </x:c>
      <x:c r="D64" s="4"/>
      <x:c r="E64" s="4" t="str">
        <x:v>No means retain the remaining hold. The separate unknown stays unresolved.</x:v>
      </x:c>
      <x:c r="F64" s="4"/>
      <x:c r="G64" s="4"/>
      <x:c r="H64" s="3"/>
    </x:row>
    <x:row r="65" ht="24" customHeight="1">
      <x:c r="A65" s="3"/>
      <x:c r="B65" s="3" t="str">
        <x:v>Actual remaining hold after first fill</x:v>
      </x:c>
      <x:c r="C65" s="19" t="n">
        <x:v>901.8</x:v>
      </x:c>
      <x:c r="D65" s="4"/>
      <x:c r="E65" s="4" t="str">
        <x:v>Synthetic readback assumption. Replace with the actual venue value.</x:v>
      </x:c>
      <x:c r="F65" s="4"/>
      <x:c r="G65" s="4"/>
      <x:c r="H65" s="3"/>
    </x:row>
    <x:row r="66" ht="24" customHeight="1">
      <x:c r="A66" s="3"/>
      <x:c r="B66" s="3" t="str">
        <x:v>Actual remaining hold after further fill</x:v>
      </x:c>
      <x:c r="C66" s="19" t="n">
        <x:v>701.4</x:v>
      </x:c>
      <x:c r="D66" s="4"/>
      <x:c r="E66" s="4" t="str">
        <x:v>Synthetic readback assumption. Do not infer release from a sent request.</x:v>
      </x:c>
      <x:c r="F66" s="4"/>
      <x:c r="G66" s="4"/>
      <x:c r="H66" s="3"/>
    </x:row>
    <x:row r="67" ht="24" customHeight="1">
      <x:c r="A67" s="3"/>
      <x:c r="B67" s="3" t="str">
        <x:v>Illustrative initial order commitment</x:v>
      </x:c>
      <x:c r="C67" s="9" t="n">
        <x:f>IF(COUNT(C59:C61)=3,C59*C60*(1+C61),"n.a.")</x:f>
        <x:v>1503</x:v>
      </x:c>
      <x:c r="D67" s="4"/>
      <x:c r="E67" s="4" t="str">
        <x:v>Initial notional plus assumed fee reserve. Compare with opening hold.</x:v>
      </x:c>
      <x:c r="F67" s="4"/>
      <x:c r="G67" s="4"/>
      <x:c r="H67" s="3"/>
    </x:row>
    <x:row r="68" ht="24" customHeight="1">
      <x:c r="A68" s="3"/>
      <x:c r="B68" s="3" t="str">
        <x:v>Order-sequence input status</x:v>
      </x:c>
      <x:c r="C68" s="4"/>
      <x:c r="D68" s="4"/>
      <x:c r="E68" s="4" t="str">
        <x:f>IF(COUNT(C59:C63)+COUNT(C65:C66)&lt;&gt;7,"Missing numeric input",IF(COUNT(C22,C24)&lt;&gt;2,"Missing opening inventory input",IF(OR(MIN(C59:C63)&lt;0,MIN(C65:C66)&lt;0,C22&lt;0,C24&lt;0,C61&gt;=1,C62+C63&gt;C59),"Invalid order input",IF(AND(C64&lt;&gt;"Yes",C64&lt;&gt;"No"),"Cancellation state unknown",IF(E33&lt;&gt;"Ready","Reconcile cash inputs",IF(ABS(C67-C17)&gt;0.005,"Opening hold differs from this order",IF(OR(C65&gt;C16-C62*C60*(1+C61),C66&gt;C16-(C62+C63)*C60*(1+C61)),"Hold exceeds remaining quote","Ready")))))))</x:f>
        <x:v>Ready</x:v>
      </x:c>
      <x:c r="F68" s="4"/>
      <x:c r="G68" s="4"/>
      <x:c r="H68" s="3"/>
    </x:row>
    <x:row r="69" ht="24" customHeight="1">
      <x:c r="A69" s="3"/>
      <x:c r="B69" s="3"/>
      <x:c r="C69" s="4"/>
      <x:c r="D69" s="4"/>
      <x:c r="E69" s="4"/>
      <x:c r="F69" s="4"/>
      <x:c r="G69" s="4"/>
      <x:c r="H69" s="3"/>
    </x:row>
    <x:row r="70" ht="30" customHeight="1">
      <x:c r="A70" s="3"/>
      <x:c r="B70" s="24" t="str">
        <x:v>Account item</x:v>
      </x:c>
      <x:c r="C70" s="24" t="str">
        <x:v>Initial</x:v>
      </x:c>
      <x:c r="D70" s="24" t="str">
        <x:v>First fill</x:v>
      </x:c>
      <x:c r="E70" s="24" t="str">
        <x:v>Cancel unknown</x:v>
      </x:c>
      <x:c r="F70" s="24" t="str">
        <x:v>Further fill</x:v>
      </x:c>
      <x:c r="G70" s="24" t="str">
        <x:v>Final outcome</x:v>
      </x:c>
      <x:c r="H70" s="3"/>
    </x:row>
    <x:row r="71" ht="24" customHeight="1">
      <x:c r="A71" s="3"/>
      <x:c r="B71" s="3" t="str">
        <x:v>Quote ledger (USD)</x:v>
      </x:c>
      <x:c r="C71" s="9" t="n">
        <x:f>IF(E68="Ready",C16,"n.a.")</x:f>
        <x:v>5000</x:v>
      </x:c>
      <x:c r="D71" s="9" t="n">
        <x:f>IF(E68="Ready",C71-$C$62*$C$60*(1+$C$61),"n.a.")</x:f>
        <x:v>4398.8</x:v>
      </x:c>
      <x:c r="E71" s="9" t="n">
        <x:f>IF(E68="Ready",D71,"n.a.")</x:f>
        <x:v>4398.8</x:v>
      </x:c>
      <x:c r="F71" s="9" t="n">
        <x:f>IF(E68="Ready",E71-$C$63*$C$60*(1+$C$61),"n.a.")</x:f>
        <x:v>4198.400000000001</x:v>
      </x:c>
      <x:c r="G71" s="9" t="n">
        <x:f>IF(E68="Ready",F71,"n.a.")</x:f>
        <x:v>4198.400000000001</x:v>
      </x:c>
      <x:c r="H71" s="3"/>
    </x:row>
    <x:row r="72" ht="24" customHeight="1">
      <x:c r="A72" s="3"/>
      <x:c r="B72" s="3" t="str">
        <x:v>Base inventory (units)</x:v>
      </x:c>
      <x:c r="C72" s="22" t="n">
        <x:f>IF(E68="Ready",C22,"n.a.")</x:f>
        <x:v>20</x:v>
      </x:c>
      <x:c r="D72" s="22" t="n">
        <x:f>IF(E68="Ready",C72+$C$62,"n.a.")</x:f>
        <x:v>26</x:v>
      </x:c>
      <x:c r="E72" s="22" t="n">
        <x:f>IF(E68="Ready",D72,"n.a.")</x:f>
        <x:v>26</x:v>
      </x:c>
      <x:c r="F72" s="22" t="n">
        <x:f>IF(E68="Ready",E72+$C$63,"n.a.")</x:f>
        <x:v>28</x:v>
      </x:c>
      <x:c r="G72" s="22" t="n">
        <x:f>IF(E68="Ready",F72,"n.a.")</x:f>
        <x:v>28</x:v>
      </x:c>
      <x:c r="H72" s="3"/>
    </x:row>
    <x:row r="73" ht="24" customHeight="1">
      <x:c r="A73" s="3"/>
      <x:c r="B73" s="3" t="str">
        <x:v>Bid hold (USD)</x:v>
      </x:c>
      <x:c r="C73" s="9" t="n">
        <x:f>IF(E68="Ready",C17,"n.a.")</x:f>
        <x:v>1503</x:v>
      </x:c>
      <x:c r="D73" s="9" t="n">
        <x:f>IF(E68="Ready",$C$65,"n.a.")</x:f>
        <x:v>901.8</x:v>
      </x:c>
      <x:c r="E73" s="9" t="n">
        <x:f>IF(E68="Ready",D73,"n.a.")</x:f>
        <x:v>901.8</x:v>
      </x:c>
      <x:c r="F73" s="9" t="n">
        <x:f>IF(E68="Ready",$C$66,"n.a.")</x:f>
        <x:v>701.4</x:v>
      </x:c>
      <x:c r="G73" s="9" t="n">
        <x:f>IF(E68="Ready",IF($C$64="Yes",0,F73),"n.a.")</x:f>
        <x:v>0</x:v>
      </x:c>
      <x:c r="H73" s="3"/>
    </x:row>
    <x:row r="74" ht="24" customHeight="1">
      <x:c r="A74" s="3"/>
      <x:c r="B74" s="3" t="str">
        <x:v>Free quote (USD)</x:v>
      </x:c>
      <x:c r="C74" s="9" t="n">
        <x:f>IF(E68="Ready",C18,"n.a.")</x:f>
        <x:v>3497</x:v>
      </x:c>
      <x:c r="D74" s="9" t="n">
        <x:f>IF(E68="Ready",D71-D73,"n.a.")</x:f>
        <x:v>3497</x:v>
      </x:c>
      <x:c r="E74" s="9" t="n">
        <x:f>IF(E68="Ready",E71-E73,"n.a.")</x:f>
        <x:v>3497</x:v>
      </x:c>
      <x:c r="F74" s="9" t="n">
        <x:f>IF(E68="Ready",F71-F73,"n.a.")</x:f>
        <x:v>3497.0000000000005</x:v>
      </x:c>
      <x:c r="G74" s="9" t="n">
        <x:f>IF(E68="Ready",G71-G73,"n.a.")</x:f>
        <x:v>4198.400000000001</x:v>
      </x:c>
      <x:c r="H74" s="3"/>
    </x:row>
    <x:row r="75" ht="24" customHeight="1">
      <x:c r="A75" s="3"/>
      <x:c r="B75" s="3" t="str">
        <x:v>Distinct manual reserve (USD)</x:v>
      </x:c>
      <x:c r="C75" s="9" t="n">
        <x:f>IF(E68="Ready",$C$35,"n.a.")</x:f>
        <x:v>500</x:v>
      </x:c>
      <x:c r="D75" s="9" t="n">
        <x:f>IF(E68="Ready",$C$35,"n.a.")</x:f>
        <x:v>500</x:v>
      </x:c>
      <x:c r="E75" s="9" t="n">
        <x:f>IF(E68="Ready",$C$35,"n.a.")</x:f>
        <x:v>500</x:v>
      </x:c>
      <x:c r="F75" s="9" t="n">
        <x:f>IF(E68="Ready",$C$35,"n.a.")</x:f>
        <x:v>500</x:v>
      </x:c>
      <x:c r="G75" s="9" t="n">
        <x:f>IF(E68="Ready",$C$35,"n.a.")</x:f>
        <x:v>500</x:v>
      </x:c>
      <x:c r="H75" s="3"/>
    </x:row>
    <x:row r="76" ht="24" customHeight="1">
      <x:c r="A76" s="3"/>
      <x:c r="B76" s="25" t="str">
        <x:v>Raw provisional headroom (USD)</x:v>
      </x:c>
      <x:c r="C76" s="26" t="n">
        <x:f>IF(E68="Ready",C74-C75,"n.a.")</x:f>
        <x:v>2997</x:v>
      </x:c>
      <x:c r="D76" s="26" t="n">
        <x:f>IF(E68="Ready",D74-D75,"n.a.")</x:f>
        <x:v>2997</x:v>
      </x:c>
      <x:c r="E76" s="26" t="n">
        <x:f>IF(E68="Ready",E74-E75,"n.a.")</x:f>
        <x:v>2997</x:v>
      </x:c>
      <x:c r="F76" s="26" t="n">
        <x:f>IF(E68="Ready",F74-F75,"n.a.")</x:f>
        <x:v>2997.0000000000005</x:v>
      </x:c>
      <x:c r="G76" s="26" t="n">
        <x:f>IF(E68="Ready",G74-G75,"n.a.")</x:f>
        <x:v>3698.4000000000005</x:v>
      </x:c>
      <x:c r="H76" s="3"/>
    </x:row>
    <x:row r="77" ht="24" customHeight="1">
      <x:c r="A77" s="3"/>
      <x:c r="B77" s="3" t="str">
        <x:v>Hold released by cancellation</x:v>
      </x:c>
      <x:c r="C77" s="9" t="n">
        <x:f>IF(E68="Ready",0,"n.a.")</x:f>
        <x:v>0</x:v>
      </x:c>
      <x:c r="D77" s="9" t="n">
        <x:f>IF(E68="Ready",0,"n.a.")</x:f>
        <x:v>0</x:v>
      </x:c>
      <x:c r="E77" s="9" t="n">
        <x:f>IF(E68="Ready",0,"n.a.")</x:f>
        <x:v>0</x:v>
      </x:c>
      <x:c r="F77" s="9" t="n">
        <x:f>IF(E68="Ready",0,"n.a.")</x:f>
        <x:v>0</x:v>
      </x:c>
      <x:c r="G77" s="9" t="n">
        <x:f>IF(E68="Ready",IF($C$64="Yes",F73,0),"n.a.")</x:f>
        <x:v>701.4</x:v>
      </x:c>
      <x:c r="H77" s="3"/>
    </x:row>
    <x:row r="78" ht="24" customHeight="1">
      <x:c r="A78" s="3"/>
      <x:c r="B78" s="3" t="str">
        <x:v>Quote plus base at initial mark</x:v>
      </x:c>
      <x:c r="C78" s="9" t="n">
        <x:f>IF(AND(ISNUMBER(C71),ISNUMBER(C72),ISNUMBER($C$24)),C71+C72*$C$24,"n.a.")</x:f>
        <x:v>7000</x:v>
      </x:c>
      <x:c r="D78" s="9" t="n">
        <x:f>IF(AND(ISNUMBER(D71),ISNUMBER(D72),ISNUMBER($C$24)),D71+D72*$C$24,"n.a.")</x:f>
        <x:v>6998.8</x:v>
      </x:c>
      <x:c r="E78" s="9" t="n">
        <x:f>IF(AND(ISNUMBER(E71),ISNUMBER(E72),ISNUMBER($C$24)),E71+E72*$C$24,"n.a.")</x:f>
        <x:v>6998.8</x:v>
      </x:c>
      <x:c r="F78" s="9" t="n">
        <x:f>IF(AND(ISNUMBER(F71),ISNUMBER(F72),ISNUMBER($C$24)),F71+F72*$C$24,"n.a.")</x:f>
        <x:v>6998.400000000001</x:v>
      </x:c>
      <x:c r="G78" s="9" t="n">
        <x:f>IF(AND(ISNUMBER(G71),ISNUMBER(G72),ISNUMBER($C$24)),G71+G72*$C$24,"n.a.")</x:f>
        <x:v>6998.400000000001</x:v>
      </x:c>
      <x:c r="H78" s="3"/>
    </x:row>
    <x:row r="79" ht="24" customHeight="1">
      <x:c r="A79" s="3"/>
      <x:c r="B79" s="3"/>
      <x:c r="C79" s="4"/>
      <x:c r="D79" s="4"/>
      <x:c r="E79" s="4"/>
      <x:c r="F79" s="4"/>
      <x:c r="G79" s="4"/>
      <x:c r="H79" s="3"/>
    </x:row>
    <x:row r="80" ht="24" customHeight="1">
      <x:c r="A80" s="3"/>
      <x:c r="B80" s="3" t="str">
        <x:v>A sent or timed-out cancellation releases nothing here. Prior fills remain after confirmed cancellation.</x:v>
      </x:c>
      <x:c r="C80" s="4"/>
      <x:c r="D80" s="4"/>
      <x:c r="E80" s="4"/>
      <x:c r="F80" s="4"/>
      <x:c r="G80" s="4"/>
      <x:c r="H80" s="3"/>
    </x:row>
    <x:row r="81" ht="24" customHeight="1">
      <x:c r="A81" s="3"/>
      <x:c r="B81" s="3" t="str">
        <x:v>Free quote is derived from the stated ledger and hold in later stages. Use actual venue readbacks when live.</x:v>
      </x:c>
      <x:c r="C81" s="4"/>
      <x:c r="D81" s="4"/>
      <x:c r="E81" s="4"/>
      <x:c r="F81" s="4"/>
      <x:c r="G81" s="4"/>
      <x:c r="H81" s="3"/>
    </x:row>
    <x:row r="82" ht="24" customHeight="1">
      <x:c r="A82" s="3"/>
      <x:c r="B82" s="10" t="str">
        <x:f>IF(C21="Yes","Pause remains: the distinct unresolved request still needs reconciliation",IF(C64&lt;&gt;"Yes","Pause: cancellation outcome remains unknown","Reconcile all fills, holds and permissions before further quoting"))</x:f>
        <x:v>Pause remains: the distinct unresolved request still needs reconciliation</x:v>
      </x:c>
      <x:c r="C82" s="11"/>
      <x:c r="D82" s="11"/>
      <x:c r="E82" s="11"/>
      <x:c r="F82" s="11"/>
      <x:c r="G82" s="11"/>
      <x:c r="H82" s="10"/>
    </x:row>
    <x:row r="83" ht="24" customHeight="1">
      <x:c r="A83" s="3"/>
      <x:c r="B83" s="3"/>
      <x:c r="C83" s="4"/>
      <x:c r="D83" s="4"/>
      <x:c r="E83" s="4"/>
      <x:c r="F83" s="4"/>
      <x:c r="G83" s="4"/>
      <x:c r="H83" s="3"/>
    </x:row>
    <x:row r="84" ht="27" customHeight="1">
      <x:c r="A84" s="3"/>
      <x:c r="B84" s="15" t="str">
        <x:v>3. Separate profit and break-even exercise</x:v>
      </x:c>
      <x:c r="C84" s="16"/>
      <x:c r="D84" s="16"/>
      <x:c r="E84" s="16"/>
      <x:c r="F84" s="16"/>
      <x:c r="G84" s="16"/>
      <x:c r="H84" s="15"/>
    </x:row>
    <x:row r="85" ht="24" customHeight="1">
      <x:c r="A85" s="3"/>
      <x:c r="B85" s="3" t="str">
        <x:f>IF(ISNUMBER(C87),"A separate synthetic "&amp;C87&amp;"-day exercise. No external capital flows. All paired trades are assumed completed.","Enter the comparison horizon below. No external capital flows are modeled.")</x:f>
        <x:v>A separate synthetic 30-day exercise. No external capital flows. All paired trades are assumed completed.</x:v>
      </x:c>
      <x:c r="C85" s="4"/>
      <x:c r="D85" s="4"/>
      <x:c r="E85" s="4"/>
      <x:c r="F85" s="4"/>
      <x:c r="G85" s="4"/>
      <x:c r="H85" s="3"/>
    </x:row>
    <x:row r="86" ht="24" customHeight="1">
      <x:c r="A86" s="3"/>
      <x:c r="B86" s="3" t="str">
        <x:v>The control holds the same starting cash and inventory. The operating reserve stays outside both strategies.</x:v>
      </x:c>
      <x:c r="C86" s="4"/>
      <x:c r="D86" s="4"/>
      <x:c r="E86" s="4"/>
      <x:c r="F86" s="4"/>
      <x:c r="G86" s="4"/>
      <x:c r="H86" s="3"/>
    </x:row>
    <x:row r="87" ht="24" customHeight="1">
      <x:c r="A87" s="3"/>
      <x:c r="B87" s="3" t="str">
        <x:v>Comparison horizon (days)</x:v>
      </x:c>
      <x:c r="C87" s="27" t="n">
        <x:v>30</x:v>
      </x:c>
      <x:c r="D87" s="4"/>
      <x:c r="E87" s="4" t="str">
        <x:v>Use one matched period for trading, marks, fees and external costs.</x:v>
      </x:c>
      <x:c r="F87" s="4"/>
      <x:c r="G87" s="4"/>
      <x:c r="H87" s="3"/>
    </x:row>
    <x:row r="88" ht="24" customHeight="1">
      <x:c r="A88" s="3"/>
      <x:c r="B88" s="3" t="str">
        <x:v>Starting quote cash</x:v>
      </x:c>
      <x:c r="C88" s="19" t="n">
        <x:v>5000</x:v>
      </x:c>
      <x:c r="D88" s="4"/>
      <x:c r="E88" s="4" t="str">
        <x:v>Independent of the partial-fill exercise above.</x:v>
      </x:c>
      <x:c r="F88" s="4"/>
      <x:c r="G88" s="4"/>
      <x:c r="H88" s="3"/>
    </x:row>
    <x:row r="89" ht="24" customHeight="1">
      <x:c r="A89" s="3"/>
      <x:c r="B89" s="3" t="str">
        <x:v>Starting and ending base units</x:v>
      </x:c>
      <x:c r="C89" s="20" t="n">
        <x:v>20</x:v>
      </x:c>
      <x:c r="D89" s="4"/>
      <x:c r="E89" s="4" t="str">
        <x:v>The matched pairs leave starting inventory unchanged.</x:v>
      </x:c>
      <x:c r="F89" s="4"/>
      <x:c r="G89" s="4"/>
      <x:c r="H89" s="3"/>
    </x:row>
    <x:row r="90" ht="24" customHeight="1">
      <x:c r="A90" s="3"/>
      <x:c r="B90" s="3" t="str">
        <x:v>Starting inventory mark (USD/unit)</x:v>
      </x:c>
      <x:c r="C90" s="19" t="n">
        <x:v>100</x:v>
      </x:c>
      <x:c r="D90" s="4"/>
      <x:c r="E90" s="4" t="str">
        <x:v>Used for both strategy and unchanged-mix control.</x:v>
      </x:c>
      <x:c r="F90" s="4"/>
      <x:c r="G90" s="4"/>
      <x:c r="H90" s="3"/>
    </x:row>
    <x:row r="91" ht="24" customHeight="1">
      <x:c r="A91" s="3"/>
      <x:c r="B91" s="3" t="str">
        <x:v>Ending inventory mark (USD/unit)</x:v>
      </x:c>
      <x:c r="C91" s="19" t="n">
        <x:v>90</x:v>
      </x:c>
      <x:c r="D91" s="4"/>
      <x:c r="E91" s="4" t="str">
        <x:v>Use the same endpoint and valuation basis for both.</x:v>
      </x:c>
      <x:c r="F91" s="4"/>
      <x:c r="G91" s="4"/>
      <x:c r="H91" s="3"/>
    </x:row>
    <x:row r="92" ht="24" customHeight="1">
      <x:c r="A92" s="3"/>
      <x:c r="B92" s="3" t="str">
        <x:v>Base units per completed pair</x:v>
      </x:c>
      <x:c r="C92" s="20" t="n">
        <x:v>1</x:v>
      </x:c>
      <x:c r="D92" s="4"/>
      <x:c r="E92" s="4" t="str">
        <x:v>A matched buy and sell of the same base quantity.</x:v>
      </x:c>
      <x:c r="F92" s="4"/>
      <x:c r="G92" s="4"/>
      <x:c r="H92" s="3"/>
    </x:row>
    <x:row r="93" ht="24" customHeight="1">
      <x:c r="A93" s="3"/>
      <x:c r="B93" s="3" t="str">
        <x:v>Buy execution price (USD/unit)</x:v>
      </x:c>
      <x:c r="C93" s="19" t="n">
        <x:v>99.5</x:v>
      </x:c>
      <x:c r="D93" s="4"/>
      <x:c r="E93" s="4" t="str">
        <x:v>Execution assumptions already represent the price effect.</x:v>
      </x:c>
      <x:c r="F93" s="4"/>
      <x:c r="G93" s="4"/>
      <x:c r="H93" s="3"/>
    </x:row>
    <x:row r="94" ht="24" customHeight="1">
      <x:c r="A94" s="3"/>
      <x:c r="B94" s="3" t="str">
        <x:v>Sell execution price (USD/unit)</x:v>
      </x:c>
      <x:c r="C94" s="19" t="n">
        <x:v>100.5</x:v>
      </x:c>
      <x:c r="D94" s="4"/>
      <x:c r="E94" s="4" t="str">
        <x:v>Do not deduct an extra generic slippage penalty.</x:v>
      </x:c>
      <x:c r="F94" s="4"/>
      <x:c r="G94" s="4"/>
      <x:c r="H94" s="3"/>
    </x:row>
    <x:row r="95" ht="24" customHeight="1">
      <x:c r="A95" s="3"/>
      <x:c r="B95" s="8" t="str">
        <x:v>Buy fee rate, paid in quote</x:v>
      </x:c>
      <x:c r="C95" s="30" t="n">
        <x:v>0.002</x:v>
      </x:c>
      <x:c r="D95" s="4"/>
      <x:c r="E95" s="4" t="str">
        <x:v>Synthetic, not a current account fee.</x:v>
      </x:c>
      <x:c r="F95" s="4"/>
      <x:c r="G95" s="4"/>
      <x:c r="H95" s="3"/>
    </x:row>
    <x:row r="96" ht="24" customHeight="1">
      <x:c r="A96" s="3"/>
      <x:c r="B96" s="8" t="str">
        <x:v>Sell fee rate, paid in quote</x:v>
      </x:c>
      <x:c r="C96" s="30" t="n">
        <x:v>0.002</x:v>
      </x:c>
      <x:c r="D96" s="4"/>
      <x:c r="E96" s="4" t="str">
        <x:v>Synthetic, not a current account fee.</x:v>
      </x:c>
      <x:c r="F96" s="4"/>
      <x:c r="G96" s="4"/>
      <x:c r="H96" s="3"/>
    </x:row>
    <x:row r="97" ht="24" customHeight="1">
      <x:c r="A97" s="3"/>
      <x:c r="B97" s="3" t="str">
        <x:v>Completed matched pairs</x:v>
      </x:c>
      <x:c r="C97" s="27" t="n">
        <x:v>100</x:v>
      </x:c>
      <x:c r="D97" s="4"/>
      <x:c r="E97" s="4" t="str">
        <x:v>A count of completed pairs, not orders submitted.</x:v>
      </x:c>
      <x:c r="F97" s="4"/>
      <x:c r="G97" s="4"/>
      <x:c r="H97" s="3"/>
    </x:row>
    <x:row r="98" ht="24" customHeight="1">
      <x:c r="A98" s="3"/>
      <x:c r="B98" s="3" t="str">
        <x:v>External bot costs for this horizon</x:v>
      </x:c>
      <x:c r="C98" s="19" t="n">
        <x:v>40</x:v>
      </x:c>
      <x:c r="D98" s="4"/>
      <x:c r="E98" s="4" t="str">
        <x:v>Paid outside exchange balance. Deducted once below.</x:v>
      </x:c>
      <x:c r="F98" s="4"/>
      <x:c r="G98" s="4"/>
      <x:c r="H98" s="3"/>
    </x:row>
    <x:row r="99" ht="24" customHeight="1">
      <x:c r="A99" s="3"/>
      <x:c r="B99" s="3" t="str">
        <x:v>Profit-exercise input status</x:v>
      </x:c>
      <x:c r="C99" s="4"/>
      <x:c r="D99" s="4"/>
      <x:c r="E99" s="4" t="str">
        <x:f>IF(COUNT(C87:C98)&lt;&gt;12,"Missing numeric input",IF(OR(MIN(C87:C98)&lt;0,C87=0,C95&gt;=1,C96&gt;=1,C97&lt;&gt;INT(C97)),"Invalid profit input","Ready"))</x:f>
        <x:v>Ready</x:v>
      </x:c>
      <x:c r="F99" s="4"/>
      <x:c r="G99" s="4"/>
      <x:c r="H99" s="3"/>
    </x:row>
    <x:row r="100" ht="24" customHeight="1">
      <x:c r="A100" s="3"/>
      <x:c r="B100" s="3" t="str">
        <x:v>Gross spread per completed pair</x:v>
      </x:c>
      <x:c r="C100" s="9" t="n">
        <x:f>IF(E99="Ready",C92*(C94-C93),"n.a.")</x:f>
        <x:v>1</x:v>
      </x:c>
      <x:c r="D100" s="4"/>
      <x:c r="E100" s="4"/>
      <x:c r="F100" s="4"/>
      <x:c r="G100" s="4"/>
      <x:c r="H100" s="3"/>
    </x:row>
    <x:row r="101" ht="24" customHeight="1">
      <x:c r="A101" s="3"/>
      <x:c r="B101" s="3" t="str">
        <x:v>Buy fee per pair</x:v>
      </x:c>
      <x:c r="C101" s="28" t="n">
        <x:f>IF(E99="Ready",C92*C93*C95,"n.a.")</x:f>
        <x:v>0.199</x:v>
      </x:c>
      <x:c r="D101" s="4"/>
      <x:c r="E101" s="4"/>
      <x:c r="F101" s="4"/>
      <x:c r="G101" s="4"/>
      <x:c r="H101" s="3"/>
    </x:row>
    <x:row r="102" ht="24" customHeight="1">
      <x:c r="A102" s="3"/>
      <x:c r="B102" s="3" t="str">
        <x:v>Sell fee per pair</x:v>
      </x:c>
      <x:c r="C102" s="28" t="n">
        <x:f>IF(E99="Ready",C92*C94*C96,"n.a.")</x:f>
        <x:v>0.201</x:v>
      </x:c>
      <x:c r="D102" s="4"/>
      <x:c r="E102" s="4"/>
      <x:c r="F102" s="4"/>
      <x:c r="G102" s="4"/>
      <x:c r="H102" s="3"/>
    </x:row>
    <x:row r="103" ht="24" customHeight="1">
      <x:c r="A103" s="3"/>
      <x:c r="B103" s="33" t="str">
        <x:v>Net contribution per completed pair</x:v>
      </x:c>
      <x:c r="C103" s="34" t="n">
        <x:f>IF(E99="Ready",C100-SUM(C101:C102),"n.a.")</x:f>
        <x:v>0.6</x:v>
      </x:c>
      <x:c r="D103" s="4"/>
      <x:c r="E103" s="4" t="str">
        <x:v>Positive spread alone does not establish positive contribution.</x:v>
      </x:c>
      <x:c r="F103" s="4"/>
      <x:c r="G103" s="4"/>
      <x:c r="H103" s="3"/>
    </x:row>
    <x:row r="104" ht="24" customHeight="1">
      <x:c r="A104" s="3"/>
      <x:c r="B104" s="3" t="str">
        <x:v>Gross spread from completed pairs</x:v>
      </x:c>
      <x:c r="C104" s="9" t="n">
        <x:f>IF(E99="Ready",C97*C100,"n.a.")</x:f>
        <x:v>100</x:v>
      </x:c>
      <x:c r="D104" s="4"/>
      <x:c r="E104" s="4"/>
      <x:c r="F104" s="4"/>
      <x:c r="G104" s="4"/>
      <x:c r="H104" s="3"/>
    </x:row>
    <x:row r="105" ht="24" customHeight="1">
      <x:c r="A105" s="3"/>
      <x:c r="B105" s="3" t="str">
        <x:v>Trading fees from completed pairs</x:v>
      </x:c>
      <x:c r="C105" s="9" t="n">
        <x:f>IF(E99="Ready",C97*SUM(C101:C102),"n.a.")</x:f>
        <x:v>40</x:v>
      </x:c>
      <x:c r="D105" s="4"/>
      <x:c r="E105" s="4" t="str">
        <x:v>Already included in net trading cash. Do not deduct again.</x:v>
      </x:c>
      <x:c r="F105" s="4"/>
      <x:c r="G105" s="4"/>
      <x:c r="H105" s="3"/>
    </x:row>
    <x:row r="106" ht="24" customHeight="1">
      <x:c r="A106" s="3"/>
      <x:c r="B106" s="3" t="str">
        <x:v>Net trading cash change</x:v>
      </x:c>
      <x:c r="C106" s="9" t="n">
        <x:f>IF(E99="Ready",C104-C105,"n.a.")</x:f>
        <x:v>60</x:v>
      </x:c>
      <x:c r="D106" s="4"/>
      <x:c r="E106" s="4"/>
      <x:c r="F106" s="4"/>
      <x:c r="G106" s="4"/>
      <x:c r="H106" s="3"/>
    </x:row>
    <x:row r="107" ht="24" customHeight="1">
      <x:c r="A107" s="3"/>
      <x:c r="B107" s="33" t="str">
        <x:v>Starting strategy equity</x:v>
      </x:c>
      <x:c r="C107" s="34" t="n">
        <x:f>IF(E99="Ready",C88+C89*C90,"n.a.")</x:f>
        <x:v>7000</x:v>
      </x:c>
      <x:c r="D107" s="4"/>
      <x:c r="E107" s="4"/>
      <x:c r="F107" s="4"/>
      <x:c r="G107" s="4"/>
      <x:c r="H107" s="3"/>
    </x:row>
    <x:row r="108" ht="24" customHeight="1">
      <x:c r="A108" s="3"/>
      <x:c r="B108" s="3" t="str">
        <x:v>Ending quote cash</x:v>
      </x:c>
      <x:c r="C108" s="9" t="n">
        <x:f>IF(E99="Ready",C88+C106,"n.a.")</x:f>
        <x:v>5060</x:v>
      </x:c>
      <x:c r="D108" s="4"/>
      <x:c r="E108" s="4"/>
      <x:c r="F108" s="4"/>
      <x:c r="G108" s="4"/>
      <x:c r="H108" s="3"/>
    </x:row>
    <x:row r="109" ht="24" customHeight="1">
      <x:c r="A109" s="3"/>
      <x:c r="B109" s="3" t="str">
        <x:v>Ending marked inventory</x:v>
      </x:c>
      <x:c r="C109" s="9" t="n">
        <x:f>IF(E99="Ready",C89*C91,"n.a.")</x:f>
        <x:v>1800</x:v>
      </x:c>
      <x:c r="D109" s="4"/>
      <x:c r="E109" s="4"/>
      <x:c r="F109" s="4"/>
      <x:c r="G109" s="4"/>
      <x:c r="H109" s="3"/>
    </x:row>
    <x:row r="110" ht="24" customHeight="1">
      <x:c r="A110" s="3"/>
      <x:c r="B110" s="33" t="str">
        <x:v>Ending venue marked equity</x:v>
      </x:c>
      <x:c r="C110" s="34" t="n">
        <x:f>IF(E99="Ready",SUM(C108:C109),"n.a.")</x:f>
        <x:v>6860</x:v>
      </x:c>
      <x:c r="D110" s="4"/>
      <x:c r="E110" s="4"/>
      <x:c r="F110" s="4"/>
      <x:c r="G110" s="4"/>
      <x:c r="H110" s="3"/>
    </x:row>
    <x:row r="111" ht="24" customHeight="1">
      <x:c r="A111" s="3"/>
      <x:c r="B111" s="33" t="str">
        <x:v>Economic ending value after bot cost</x:v>
      </x:c>
      <x:c r="C111" s="34" t="n">
        <x:f>IF(E99="Ready",C110-C98,"n.a.")</x:f>
        <x:v>6820</x:v>
      </x:c>
      <x:c r="D111" s="4"/>
      <x:c r="E111" s="4" t="str">
        <x:v>External cost has not already been debited from quote cash.</x:v>
      </x:c>
      <x:c r="F111" s="4"/>
      <x:c r="G111" s="4"/>
      <x:c r="H111" s="3"/>
    </x:row>
    <x:row r="112" ht="24" customHeight="1">
      <x:c r="A112" s="3"/>
      <x:c r="B112" s="33" t="str">
        <x:v>Net strategy P&amp;L</x:v>
      </x:c>
      <x:c r="C112" s="34" t="n">
        <x:f>IF(E99="Ready",C111-C107,"n.a.")</x:f>
        <x:v>-180</x:v>
      </x:c>
      <x:c r="D112" s="4"/>
      <x:c r="E112" s="4"/>
      <x:c r="F112" s="4"/>
      <x:c r="G112" s="4"/>
      <x:c r="H112" s="3"/>
    </x:row>
    <x:row r="113" ht="24" customHeight="1">
      <x:c r="A113" s="3"/>
      <x:c r="B113" s="3" t="str">
        <x:v>Unchanged-mix control ending value</x:v>
      </x:c>
      <x:c r="C113" s="9" t="n">
        <x:f>IF(E99="Ready",C88+C109,"n.a.")</x:f>
        <x:v>6800</x:v>
      </x:c>
      <x:c r="D113" s="4"/>
      <x:c r="E113" s="4" t="str">
        <x:v>Same starting inventory and same ending mark.</x:v>
      </x:c>
      <x:c r="F113" s="4"/>
      <x:c r="G113" s="4"/>
      <x:c r="H113" s="3"/>
    </x:row>
    <x:row r="114" ht="24" customHeight="1">
      <x:c r="A114" s="3"/>
      <x:c r="B114" s="33" t="str">
        <x:v>Unchanged-mix control P&amp;L</x:v>
      </x:c>
      <x:c r="C114" s="34" t="n">
        <x:f>IF(E99="Ready",C113-C107,"n.a.")</x:f>
        <x:v>-200</x:v>
      </x:c>
      <x:c r="D114" s="4"/>
      <x:c r="E114" s="4"/>
      <x:c r="F114" s="4"/>
      <x:c r="G114" s="4"/>
      <x:c r="H114" s="3"/>
    </x:row>
    <x:row r="115" ht="24" customHeight="1">
      <x:c r="A115" s="3"/>
      <x:c r="B115" s="33" t="str">
        <x:v>Incremental P&amp;L versus control</x:v>
      </x:c>
      <x:c r="C115" s="34" t="n">
        <x:f>IF(E99="Ready",C112-C114,"n.a.")</x:f>
        <x:v>20</x:v>
      </x:c>
      <x:c r="D115" s="4"/>
      <x:c r="E115" s="4" t="str">
        <x:v>Positive incremental P&amp;L can coexist with an absolute loss.</x:v>
      </x:c>
      <x:c r="F115" s="4"/>
      <x:c r="G115" s="4"/>
      <x:c r="H115" s="3"/>
    </x:row>
    <x:row r="116" ht="24" customHeight="1">
      <x:c r="A116" s="3"/>
      <x:c r="B116" s="3" t="str">
        <x:v>Inventory markdown to cover</x:v>
      </x:c>
      <x:c r="C116" s="9" t="n">
        <x:f>IF(E99="Ready",MAX(0,C89*(C90-C91)),"n.a.")</x:f>
        <x:v>200</x:v>
      </x:c>
      <x:c r="D116" s="4"/>
      <x:c r="E116" s="4" t="str">
        <x:v>Positive markdown only. Mark gains do not raise required coverage.</x:v>
      </x:c>
      <x:c r="F116" s="4"/>
      <x:c r="G116" s="4"/>
      <x:c r="H116" s="3"/>
    </x:row>
    <x:row r="117" ht="24" customHeight="1">
      <x:c r="A117" s="3"/>
      <x:c r="B117" s="3" t="str">
        <x:v>External cost coverage required</x:v>
      </x:c>
      <x:c r="C117" s="9" t="n">
        <x:f>IF(E99="Ready",C98,"n.a.")</x:f>
        <x:v>40</x:v>
      </x:c>
      <x:c r="D117" s="4"/>
      <x:c r="E117" s="4"/>
      <x:c r="F117" s="4"/>
      <x:c r="G117" s="4"/>
      <x:c r="H117" s="3"/>
    </x:row>
    <x:row r="118" ht="24" customHeight="1">
      <x:c r="A118" s="3"/>
      <x:c r="B118" s="3" t="str">
        <x:v>External cost plus markdown coverage</x:v>
      </x:c>
      <x:c r="C118" s="9" t="n">
        <x:f>IF(E99="Ready",SUM(C116:C117),"n.a.")</x:f>
        <x:v>240</x:v>
      </x:c>
      <x:c r="D118" s="4"/>
      <x:c r="E118" s="4"/>
      <x:c r="F118" s="4"/>
      <x:c r="G118" s="4"/>
      <x:c r="H118" s="3"/>
    </x:row>
    <x:row r="119" ht="24" customHeight="1">
      <x:c r="A119" s="3"/>
      <x:c r="B119" s="33" t="str">
        <x:v>Pairs for external cost only</x:v>
      </x:c>
      <x:c r="C119" s="36" t="n">
        <x:f>IF(E99="Ready",IF(C117=0,0,IF(C103&lt;=0,"Infeasible",ROUNDUP(C117/C103,0))),"n.a.")</x:f>
        <x:v>67</x:v>
      </x:c>
      <x:c r="D119" s="4"/>
      <x:c r="E119" s="4" t="str">
        <x:f>IF(C119="Infeasible","Infeasible under assumptions: no positive pair contribution","Conditional algebraic threshold. No forecast or trading target.")</x:f>
        <x:v>Conditional algebraic threshold. No forecast or trading target.</x:v>
      </x:c>
      <x:c r="F119" s="4"/>
      <x:c r="G119" s="4"/>
      <x:c r="H119" s="3"/>
    </x:row>
    <x:row r="120" ht="24" customHeight="1">
      <x:c r="A120" s="3"/>
      <x:c r="B120" s="33" t="str">
        <x:v>Pairs for external cost plus markdown</x:v>
      </x:c>
      <x:c r="C120" s="36" t="n">
        <x:f>IF(E99="Ready",IF(C118=0,0,IF(C103&lt;=0,"Infeasible",ROUNDUP(C118/C103,0))),"n.a.")</x:f>
        <x:v>400</x:v>
      </x:c>
      <x:c r="D120" s="4"/>
      <x:c r="E120" s="4" t="str">
        <x:f>IF(C120="Infeasible","Infeasible under assumptions: no positive pair contribution","Assumes the same net contribution for every completed pair.")</x:f>
        <x:v>Assumes the same net contribution for every completed pair.</x:v>
      </x:c>
      <x:c r="F120" s="4"/>
      <x:c r="G120" s="4"/>
      <x:c r="H120" s="3"/>
    </x:row>
    <x:row r="121" ht="24" customHeight="1">
      <x:c r="A121" s="3"/>
      <x:c r="B121" s="3"/>
      <x:c r="C121" s="4"/>
      <x:c r="D121" s="4"/>
      <x:c r="E121" s="4"/>
      <x:c r="F121" s="4"/>
      <x:c r="G121" s="4"/>
      <x:c r="H121" s="3"/>
    </x:row>
    <x:row r="122" ht="24" customHeight="1">
      <x:c r="A122" s="3"/>
      <x:c r="B122" s="3" t="str">
        <x:v>Net at cost-only threshold</x:v>
      </x:c>
      <x:c r="C122" s="9" t="n">
        <x:f>IF(AND(ISNUMBER(C119),ISNUMBER(C103)),C119*C103-C117,"n.a.")</x:f>
        <x:v>0.19999999999999574</x:v>
      </x:c>
      <x:c r="D122" s="4"/>
      <x:c r="E122" s="4" t="str">
        <x:v>Excludes the separate inventory markdown.</x:v>
      </x:c>
      <x:c r="F122" s="4"/>
      <x:c r="G122" s="4"/>
      <x:c r="H122" s="3"/>
    </x:row>
    <x:row r="123" ht="24" customHeight="1">
      <x:c r="A123" s="3"/>
      <x:c r="B123" s="3" t="str">
        <x:v>Net at full-coverage threshold</x:v>
      </x:c>
      <x:c r="C123" s="9" t="n">
        <x:f>IF(AND(ISNUMBER(C120),ISNUMBER(C103)),C120*C103-C118,"n.a.")</x:f>
        <x:v>0</x:v>
      </x:c>
      <x:c r="D123" s="4"/>
      <x:c r="E123" s="4" t="str">
        <x:v>Includes external cost and the specified inventory markdown.</x:v>
      </x:c>
      <x:c r="F123" s="4"/>
      <x:c r="G123" s="4"/>
      <x:c r="H123" s="3"/>
    </x:row>
    <x:row r="124" ht="24" customHeight="1">
      <x:c r="A124" s="3"/>
      <x:c r="B124" s="3"/>
      <x:c r="C124" s="4"/>
      <x:c r="D124" s="4"/>
      <x:c r="E124" s="4"/>
      <x:c r="F124" s="4"/>
      <x:c r="G124" s="4"/>
      <x:c r="H124" s="3"/>
    </x:row>
  </x:sheetData>
  <x:conditionalFormatting sqref="C36:C39">
    <x:cfRule type="cellIs" dxfId="0" priority="1" operator="lessThan">
      <x:formula>0</x:formula>
    </x:cfRule>
  </x:conditionalFormatting>
  <x:conditionalFormatting sqref="C112:C112">
    <x:cfRule type="cellIs" dxfId="1" priority="2" operator="lessThan">
      <x:formula>0</x:formula>
    </x:cfRule>
  </x:conditionalFormatting>
  <x:conditionalFormatting sqref="C114:C114">
    <x:cfRule type="cellIs" dxfId="2" priority="3" operator="lessThan">
      <x:formula>0</x:formula>
    </x:cfRule>
  </x:conditionalFormatting>
  <x:conditionalFormatting sqref="C76:G76">
    <x:cfRule type="cellIs" dxfId="3" priority="4" operator="lessThan">
      <x:formula>0</x:formula>
    </x:cfRule>
  </x:conditionalFormatting>
  <x:conditionalFormatting sqref="C38:C38">
    <x:cfRule type="cellIs" dxfId="4" priority="5" operator="greaterThan">
      <x:formula>0</x:formula>
    </x:cfRule>
  </x:conditionalFormatting>
  <x:conditionalFormatting sqref="C53:C53">
    <x:cfRule type="expression" dxfId="5" priority="6">
      <x:formula>ABS(C53)&gt;0.005</x:formula>
    </x:cfRule>
  </x:conditionalFormatting>
  <x:conditionalFormatting sqref="E32:E32">
    <x:cfRule type="expression" dxfId="6" priority="7">
      <x:formula>E32&lt;&gt;"Ready"</x:formula>
    </x:cfRule>
  </x:conditionalFormatting>
  <x:conditionalFormatting sqref="E33:E33">
    <x:cfRule type="expression" dxfId="7" priority="8">
      <x:formula>E33&lt;&gt;"Ready"</x:formula>
    </x:cfRule>
  </x:conditionalFormatting>
  <x:conditionalFormatting sqref="E68:E68">
    <x:cfRule type="expression" dxfId="8" priority="9">
      <x:formula>E68&lt;&gt;"Ready"</x:formula>
    </x:cfRule>
  </x:conditionalFormatting>
  <x:conditionalFormatting sqref="E99:E99">
    <x:cfRule type="expression" dxfId="9" priority="10">
      <x:formula>E99&lt;&gt;"Ready"</x:formula>
    </x:cfRule>
  </x:conditionalFormatting>
  <x:dataValidations count="7">
    <x:dataValidation type="list" sqref="C20">
      <x:formula1>"Yes,No,Unknown"</x:formula1>
    </x:dataValidation>
    <x:dataValidation type="list" sqref="C21">
      <x:formula1>"Yes,No,Unknown"</x:formula1>
    </x:dataValidation>
    <x:dataValidation type="list" sqref="C29">
      <x:formula1>"Unknown,Permitted,Not permitted"</x:formula1>
    </x:dataValidation>
    <x:dataValidation type="list" sqref="C30">
      <x:formula1>"No,Yes,Unknown"</x:formula1>
    </x:dataValidation>
    <x:dataValidation type="list" sqref="C31">
      <x:formula1>"Synthetic,Observed"</x:formula1>
    </x:dataValidation>
    <x:dataValidation type="list" sqref="C64">
      <x:formula1>"Yes,No,Unknown"</x:formula1>
    </x:dataValidation>
    <x:dataValidation type="whole" operator="between" sqref="C97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91A3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08" hidden="0" customWidth="1"/>
    <x:col min="4" max="4" width="3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</x:cols>
  <x:sheetData>
    <x:row r="1" ht="24" customHeight="1">
      <x:c r="A1" s="3"/>
      <x:c r="B1" s="3"/>
      <x:c r="C1" s="37"/>
      <x:c r="D1" s="3"/>
      <x:c r="E1" s="3"/>
      <x:c r="F1" s="3"/>
      <x:c r="G1" s="3"/>
      <x:c r="H1" s="3"/>
    </x:row>
    <x:row r="2" ht="24" customHeight="1">
      <x:c r="A2" s="3"/>
      <x:c r="B2" s="5" t="str">
        <x:v>Instructions and definitions</x:v>
      </x:c>
      <x:c r="C2" s="37"/>
      <x:c r="D2" s="3"/>
      <x:c r="E2" s="3"/>
      <x:c r="F2" s="3"/>
      <x:c r="G2" s="3"/>
      <x:c r="H2" s="3"/>
    </x:row>
    <x:row r="3" ht="24" customHeight="1">
      <x:c r="A3" s="3"/>
      <x:c r="B3" s="6"/>
      <x:c r="C3" s="38"/>
      <x:c r="D3" s="3"/>
      <x:c r="E3" s="3"/>
      <x:c r="F3" s="3"/>
      <x:c r="G3" s="3"/>
      <x:c r="H3" s="3"/>
    </x:row>
    <x:row r="4" ht="24" customHeight="1">
      <x:c r="A4" s="3"/>
      <x:c r="B4" s="3"/>
      <x:c r="C4" s="37"/>
      <x:c r="D4" s="3"/>
      <x:c r="E4" s="3"/>
      <x:c r="F4" s="3"/>
      <x:c r="G4" s="3"/>
      <x:c r="H4" s="3"/>
    </x:row>
    <x:row r="5" ht="27" customHeight="1">
      <x:c r="A5" s="3"/>
      <x:c r="B5" s="15" t="str">
        <x:v>Using the planner</x:v>
      </x:c>
      <x:c r="C5" s="40"/>
      <x:c r="D5" s="3"/>
      <x:c r="E5" s="3"/>
      <x:c r="F5" s="3"/>
      <x:c r="G5" s="3"/>
      <x:c r="H5" s="3"/>
    </x:row>
    <x:row r="6" ht="40" customHeight="1">
      <x:c r="A6" s="3"/>
      <x:c r="B6" s="31" t="str">
        <x:v>Scope</x:v>
      </x:c>
      <x:c r="C6" s="37" t="str">
        <x:v>Unleveraged spot trading, one quote currency and one base asset. This workbook does not model margin, borrowing, derivatives, AMM positions or taxes.</x:v>
      </x:c>
      <x:c r="D6" s="3"/>
      <x:c r="E6" s="3"/>
      <x:c r="F6" s="3"/>
      <x:c r="G6" s="3"/>
      <x:c r="H6" s="3"/>
    </x:row>
    <x:row r="7" ht="40" customHeight="1">
      <x:c r="A7" s="3"/>
      <x:c r="B7" s="31" t="str">
        <x:v>Evidence</x:v>
      </x:c>
      <x:c r="C7" s="37" t="str">
        <x:v>All prefilled amounts, prices, fees, fills and holds are synthetic. No venue account, execution, cancellation or withdrawal was tested.</x:v>
      </x:c>
      <x:c r="D7" s="3"/>
      <x:c r="E7" s="3"/>
      <x:c r="F7" s="3"/>
      <x:c r="G7" s="3"/>
      <x:c r="H7" s="3"/>
    </x:row>
    <x:row r="8" ht="40" customHeight="1">
      <x:c r="A8" s="3"/>
      <x:c r="B8" s="31" t="str">
        <x:v>Editable fields</x:v>
      </x:c>
      <x:c r="C8" s="37" t="str">
        <x:v>Replace pale-amber inputs with aligned records or explicitly labeled assumptions. Black values are formulas. Keep an untouched copy of this teaching example.</x:v>
      </x:c>
      <x:c r="D8" s="3"/>
      <x:c r="E8" s="3"/>
      <x:c r="F8" s="3"/>
      <x:c r="G8" s="3"/>
      <x:c r="H8" s="3"/>
    </x:row>
    <x:row r="9" ht="40" customHeight="1">
      <x:c r="A9" s="3"/>
      <x:c r="B9" s="31" t="str">
        <x:v>Currency and inventory</x:v>
      </x:c>
      <x:c r="C9" s="37" t="str">
        <x:v>USD means a hypothetical exchange quote ledger. It is not a stablecoin conversion or a bank deposit. EXAMPLE is an invented base asset.</x:v>
      </x:c>
      <x:c r="D9" s="3"/>
      <x:c r="E9" s="3"/>
      <x:c r="F9" s="3"/>
      <x:c r="G9" s="3"/>
      <x:c r="H9" s="3"/>
    </x:row>
    <x:row r="10" ht="40" customHeight="1">
      <x:c r="A10" s="3"/>
      <x:c r="B10" s="31" t="str">
        <x:v>Separate exercises</x:v>
      </x:c>
      <x:c r="C10" s="37" t="str">
        <x:v>Sections 1 and 2 share the cash snapshot. Section 3 is a separate profit comparison, with a 30-day default, not a continuation of the cancellation sequence.</x:v>
      </x:c>
      <x:c r="D10" s="3"/>
      <x:c r="E10" s="3"/>
      <x:c r="F10" s="3"/>
      <x:c r="G10" s="3"/>
      <x:c r="H10" s="3"/>
    </x:row>
    <x:row r="11" ht="40" customHeight="1">
      <x:c r="A11" s="3"/>
      <x:c r="B11" s="31" t="str">
        <x:v>Observed versus assumed</x:v>
      </x:c>
      <x:c r="C11" s="37" t="str">
        <x:v>Observed cash inputs require same-account readbacks and timestamps. Exit prices, future liquidity and completed-pair assumptions remain hypothetical even if cash inputs are observed.</x:v>
      </x:c>
      <x:c r="D11" s="3"/>
      <x:c r="E11" s="3"/>
      <x:c r="F11" s="3"/>
      <x:c r="G11" s="3"/>
      <x:c r="H11" s="3"/>
    </x:row>
    <x:row r="12" ht="27" customHeight="1">
      <x:c r="A12" s="3"/>
      <x:c r="B12" s="15" t="str">
        <x:v>What the balances mean</x:v>
      </x:c>
      <x:c r="C12" s="40"/>
      <x:c r="D12" s="3"/>
      <x:c r="E12" s="3"/>
      <x:c r="F12" s="3"/>
      <x:c r="G12" s="3"/>
      <x:c r="H12" s="3"/>
    </x:row>
    <x:row r="13" ht="40" customHeight="1">
      <x:c r="A13" s="3"/>
      <x:c r="B13" s="31" t="str">
        <x:v>Free quote and holds</x:v>
      </x:c>
      <x:c r="C13" s="37" t="str">
        <x:v>The model uses Q = F + H, with pending deposits and transfers reconciled separately. Enter venue free quote once. Do not subtract the same bid hold from free quote again.</x:v>
      </x:c>
      <x:c r="D13" s="3"/>
      <x:c r="E13" s="3"/>
      <x:c r="F13" s="3"/>
      <x:c r="G13" s="3"/>
      <x:c r="H13" s="3"/>
    </x:row>
    <x:row r="14" ht="51" customHeight="1">
      <x:c r="A14" s="3"/>
      <x:c r="B14" s="31" t="str">
        <x:v>Distinct unknown request</x:v>
      </x:c>
      <x:c r="C14" s="37" t="str">
        <x:v>Reserve only a commitment absent from observed free balance, holds and debits. Set the already-reflected field to Yes to avoid a second reserve. An unresolved request still requires a pause.</x:v>
      </x:c>
      <x:c r="D14" s="3"/>
      <x:c r="E14" s="3"/>
      <x:c r="F14" s="3"/>
      <x:c r="G14" s="3"/>
      <x:c r="H14" s="3"/>
    </x:row>
    <x:row r="15" ht="51" customHeight="1">
      <x:c r="A15" s="3"/>
      <x:c r="B15" s="31" t="str">
        <x:v>Ask-held inventory</x:v>
      </x:c>
      <x:c r="C15" s="37" t="str">
        <x:v>Ask-held units are part of total inventory. They are not added again. Unfilled asks produce no quote proceeds. Confirm release or reconcile fills before assuming all inventory can be sold.</x:v>
      </x:c>
      <x:c r="D15" s="3"/>
      <x:c r="E15" s="3"/>
      <x:c r="F15" s="3"/>
      <x:c r="G15" s="3"/>
      <x:c r="H15" s="3"/>
    </x:row>
    <x:row r="16" ht="40" customHeight="1">
      <x:c r="A16" s="3"/>
      <x:c r="B16" s="31" t="str">
        <x:v>Conditional exit proceeds</x:v>
      </x:c>
      <x:c r="C16" s="37" t="str">
        <x:v>Units × assumed average execution price, less the specified quote-paid exit fee. This replaces the inventory mark in a scenario. It is not extra cash and is not a guaranteed exit.</x:v>
      </x:c>
      <x:c r="D16" s="3"/>
      <x:c r="E16" s="3"/>
      <x:c r="F16" s="3"/>
      <x:c r="G16" s="3"/>
      <x:c r="H16" s="3"/>
    </x:row>
    <x:row r="17" ht="51" customHeight="1">
      <x:c r="A17" s="3"/>
      <x:c r="B17" s="31" t="str">
        <x:v>Withdrawal and settlement</x:v>
      </x:c>
      <x:c r="C17" s="37" t="str">
        <x:v>Check account eligibility, asset/network status, limits, fees and destination before transfer. Only confirmed bank settlement establishes bank cash. A trading-available field does not do that.</x:v>
      </x:c>
      <x:c r="D17" s="3"/>
      <x:c r="E17" s="3"/>
      <x:c r="F17" s="3"/>
      <x:c r="G17" s="3"/>
      <x:c r="H17" s="3"/>
    </x:row>
    <x:row r="18" ht="40" customHeight="1">
      <x:c r="A18" s="3"/>
      <x:c r="B18" s="31" t="str">
        <x:v>Cancellation sequence</x:v>
      </x:c>
      <x:c r="C18" s="37" t="str">
        <x:v>Sending a cancellation request or timing out releases no hold in the unknown stage. The final Yes control represents a confirmed canceled remainder. Earlier fills and fees remain.</x:v>
      </x:c>
      <x:c r="D18" s="3"/>
      <x:c r="E18" s="3"/>
      <x:c r="F18" s="3"/>
      <x:c r="G18" s="3"/>
      <x:c r="H18" s="3"/>
    </x:row>
    <x:row r="19" ht="40" customHeight="1">
      <x:c r="A19" s="3"/>
      <x:c r="B19" s="31" t="str">
        <x:v>Remaining holds</x:v>
      </x:c>
      <x:c r="C19" s="37" t="str">
        <x:v>Post-fill hold inputs are explicit synthetic readbacks. The initial price × size × (1 + fee) illustration must not be assumed to govern every venue or every partial-fill state.</x:v>
      </x:c>
      <x:c r="D19" s="3"/>
      <x:c r="E19" s="3"/>
      <x:c r="F19" s="3"/>
      <x:c r="G19" s="3"/>
      <x:c r="H19" s="3"/>
    </x:row>
    <x:row r="20" ht="40" customHeight="1">
      <x:c r="A20" s="3"/>
      <x:c r="B20" s="31" t="str">
        <x:v>Quote-paid fees only</x:v>
      </x:c>
      <x:c r="C20" s="37" t="str">
        <x:v>If a venue deducts fees in base or a third token, reconcile asset quantities and any FX value separately before using these formulas. Use actual commission rates and assets.</x:v>
      </x:c>
      <x:c r="D20" s="3"/>
      <x:c r="E20" s="3"/>
      <x:c r="F20" s="3"/>
      <x:c r="G20" s="3"/>
      <x:c r="H20" s="3"/>
    </x:row>
    <x:row r="21" ht="24" customHeight="1">
      <x:c r="A21" s="3"/>
      <x:c r="B21" s="3"/>
      <x:c r="C21" s="37"/>
      <x:c r="D21" s="3"/>
      <x:c r="E21" s="3"/>
      <x:c r="F21" s="3"/>
      <x:c r="G21" s="3"/>
      <x:c r="H21" s="3"/>
    </x:row>
    <x:row r="22" ht="27" customHeight="1">
      <x:c r="A22" s="3"/>
      <x:c r="B22" s="15" t="str">
        <x:v>Primary sources</x:v>
      </x:c>
      <x:c r="C22" s="40"/>
      <x:c r="D22" s="3"/>
      <x:c r="E22" s="3"/>
      <x:c r="F22" s="3"/>
      <x:c r="G22" s="3"/>
      <x:c r="H22" s="3"/>
    </x:row>
    <x:row r="23" ht="32" customHeight="1">
      <x:c r="A23" s="3"/>
      <x:c r="B23" s="3" t="str">
        <x:v>Coinbase order holds</x:v>
      </x:c>
      <x:c r="C23" s="37" t="str">
        <x:v>Initial holds and cancellation release semantics. This is venue-specific documentation.</x:v>
      </x:c>
      <x:c r="D23" s="3"/>
      <x:c r="E23" s="3"/>
      <x:c r="F23" s="3"/>
      <x:c r="G23" s="3"/>
      <x:c r="H23" s="3"/>
    </x:row>
    <x:row r="24" ht="32" customHeight="1">
      <x:c r="A24" s="3"/>
      <x:c r="B24" s="3"/>
      <x:c r="C24" s="41" t="str">
        <x:v>https://docs.cdp.coinbase.com/api-reference/exchange-api/rest-api/orders/create-new-order</x:v>
      </x:c>
      <x:c r="D24" s="3"/>
      <x:c r="E24" s="3"/>
      <x:c r="F24" s="3"/>
      <x:c r="G24" s="3"/>
      <x:c r="H24" s="3"/>
    </x:row>
    <x:row r="25" ht="32" customHeight="1">
      <x:c r="A25" s="3"/>
      <x:c r="B25" s="3" t="str">
        <x:v>Coinbase cancellation</x:v>
      </x:c>
      <x:c r="C25" s="37" t="str">
        <x:v>Successful cancellation response and already-filled outcomes.</x:v>
      </x:c>
      <x:c r="D25" s="3"/>
      <x:c r="E25" s="3"/>
      <x:c r="F25" s="3"/>
      <x:c r="G25" s="3"/>
      <x:c r="H25" s="3"/>
    </x:row>
    <x:row r="26" ht="32" customHeight="1">
      <x:c r="A26" s="3"/>
      <x:c r="B26" s="3"/>
      <x:c r="C26" s="41" t="str">
        <x:v>https://docs.cdp.coinbase.com/api-reference/exchange-api/rest-api/orders/cancel-an-order</x:v>
      </x:c>
      <x:c r="D26" s="3"/>
      <x:c r="E26" s="3"/>
      <x:c r="F26" s="3"/>
      <x:c r="G26" s="3"/>
      <x:c r="H26" s="3"/>
    </x:row>
    <x:row r="27" ht="32" customHeight="1">
      <x:c r="A27" s="3"/>
      <x:c r="B27" s="3" t="str">
        <x:v>Coinbase account fields</x:v>
      </x:c>
      <x:c r="C27" s="37" t="str">
        <x:v>Balance, hold, available and pending-deposit fields. Align the account and timestamp.</x:v>
      </x:c>
      <x:c r="D27" s="3"/>
      <x:c r="E27" s="3"/>
      <x:c r="F27" s="3"/>
      <x:c r="G27" s="3"/>
      <x:c r="H27" s="3"/>
    </x:row>
    <x:row r="28" ht="32" customHeight="1">
      <x:c r="A28" s="3"/>
      <x:c r="B28" s="3"/>
      <x:c r="C28" s="41" t="str">
        <x:v>https://docs.cdp.coinbase.com/api-reference/exchange-api/rest-api/accounts/get-single-account-by-id</x:v>
      </x:c>
      <x:c r="D28" s="3"/>
      <x:c r="E28" s="3"/>
      <x:c r="F28" s="3"/>
      <x:c r="G28" s="3"/>
      <x:c r="H28" s="3"/>
    </x:row>
    <x:row r="29" ht="32" customHeight="1">
      <x:c r="A29" s="3"/>
      <x:c r="B29" s="3" t="str">
        <x:v>Binance withdrawal fields</x:v>
      </x:c>
      <x:c r="C29" s="37" t="str">
        <x:v>Free/locked assets plus network withdrawal status, fee and limits.</x:v>
      </x:c>
      <x:c r="D29" s="3"/>
      <x:c r="E29" s="3"/>
      <x:c r="F29" s="3"/>
      <x:c r="G29" s="3"/>
      <x:c r="H29" s="3"/>
    </x:row>
    <x:row r="30" ht="32" customHeight="1">
      <x:c r="A30" s="3"/>
      <x:c r="B30" s="3"/>
      <x:c r="C30" s="41" t="str">
        <x:v>https://developers.binance.com/en/docs/catalog/core-trading-wallet/api/rest-api/capital</x:v>
      </x:c>
      <x:c r="D30" s="3"/>
      <x:c r="E30" s="3"/>
      <x:c r="F30" s="3"/>
      <x:c r="G30" s="3"/>
      <x:c r="H30" s="3"/>
    </x:row>
    <x:row r="31" ht="32" customHeight="1">
      <x:c r="A31" s="3"/>
      <x:c r="B31" s="3" t="str">
        <x:v>Binance commission asset</x:v>
      </x:c>
      <x:c r="C31" s="37" t="str">
        <x:v>Commission examples are fictional. Real fee rates and fee assets require account/order evidence.</x:v>
      </x:c>
      <x:c r="D31" s="3"/>
      <x:c r="E31" s="3"/>
      <x:c r="F31" s="3"/>
      <x:c r="G31" s="3"/>
      <x:c r="H31" s="3"/>
    </x:row>
    <x:row r="32" ht="32" customHeight="1">
      <x:c r="A32" s="3"/>
      <x:c r="B32" s="3"/>
      <x:c r="C32" s="41" t="str">
        <x:v>https://developers.binance.com/en/docs/products/spot/faqs/commission_faq</x:v>
      </x:c>
      <x:c r="D32" s="3"/>
      <x:c r="E32" s="3"/>
      <x:c r="F32" s="3"/>
      <x:c r="G32" s="3"/>
      <x:c r="H32" s="3"/>
    </x:row>
    <x:row r="33" ht="24" customHeight="1">
      <x:c r="A33" s="3"/>
      <x:c r="B33" s="3"/>
      <x:c r="C33" s="37"/>
      <x:c r="D33" s="3"/>
      <x:c r="E33" s="3"/>
      <x:c r="F33" s="3"/>
      <x:c r="G33" s="3"/>
      <x:c r="H33" s="3"/>
    </x:row>
    <x:row r="34" ht="24" customHeight="1">
      <x:c r="A34" s="3"/>
      <x:c r="B34" s="3"/>
      <x:c r="C34" s="37"/>
      <x:c r="D34" s="3"/>
      <x:c r="E34" s="3"/>
      <x:c r="F34" s="3"/>
      <x:c r="G34" s="3"/>
      <x:c r="H34" s="3"/>
    </x:row>
    <x:row r="35" ht="27" customHeight="1">
      <x:c r="A35" s="3"/>
      <x:c r="B35" s="15" t="str">
        <x:v>Formulas and comparison basis</x:v>
      </x:c>
      <x:c r="C35" s="40"/>
      <x:c r="D35" s="3"/>
      <x:c r="E35" s="3"/>
      <x:c r="F35" s="3"/>
      <x:c r="G35" s="3"/>
      <x:c r="H35" s="3"/>
    </x:row>
    <x:row r="36" ht="51" customHeight="1">
      <x:c r="A36" s="3"/>
      <x:c r="B36" s="31" t="str">
        <x:v>Cash identity</x:v>
      </x:c>
      <x:c r="C36" s="37" t="str">
        <x:v>Quote ledger = venue free quote + observed bid holds. Venue free quote = signed provisional headroom + the separately applied manual reserve. A floored headroom needs the shortfall shown separately.</x:v>
      </x:c>
      <x:c r="D36" s="3"/>
      <x:c r="E36" s="3"/>
      <x:c r="F36" s="3"/>
      <x:c r="G36" s="3"/>
      <x:c r="H36" s="3"/>
    </x:row>
    <x:row r="37" ht="40" customHeight="1">
      <x:c r="A37" s="3"/>
      <x:c r="B37" s="31" t="str">
        <x:v>Profit comparison</x:v>
      </x:c>
      <x:c r="C37" s="37" t="str">
        <x:v>Net P&amp;L = ending marked venue equity − starting equity − external costs paid outside the venue. The example has no external capital flows and keeps the same inventory quantity.</x:v>
      </x:c>
      <x:c r="D37" s="3"/>
      <x:c r="E37" s="3"/>
      <x:c r="F37" s="3"/>
      <x:c r="G37" s="3"/>
      <x:c r="H37" s="3"/>
    </x:row>
    <x:row r="38" ht="40" customHeight="1">
      <x:c r="A38" s="3"/>
      <x:c r="B38" s="31" t="str">
        <x:v>Net per completed pair</x:v>
      </x:c>
      <x:c r="C38" s="37" t="str">
        <x:v>q × [sell price × (1 − sell fee rate) − buy price × (1 + buy fee rate)]. All prices, quantities and proportional fee assets must match.</x:v>
      </x:c>
      <x:c r="D38" s="3"/>
      <x:c r="E38" s="3"/>
      <x:c r="F38" s="3"/>
      <x:c r="G38" s="3"/>
      <x:c r="H38" s="3"/>
    </x:row>
    <x:row r="39" ht="51" customHeight="1">
      <x:c r="A39" s="3"/>
      <x:c r="B39" s="31" t="str">
        <x:v>Break-even count</x:v>
      </x:c>
      <x:c r="C39" s="37" t="str">
        <x:v>Required positive cost coverage divided by positive net contribution, rounded up to a whole completed pair. Nonpositive contribution is infeasible for positive coverage. Zero required coverage needs zero pairs.</x:v>
      </x:c>
      <x:c r="D39" s="3"/>
      <x:c r="E39" s="3"/>
      <x:c r="F39" s="3"/>
      <x:c r="G39" s="3"/>
      <x:c r="H39" s="3"/>
    </x:row>
    <x:row r="40" ht="40" customHeight="1">
      <x:c r="A40" s="3"/>
      <x:c r="B40" s="31" t="str">
        <x:v>Costs only once</x:v>
      </x:c>
      <x:c r="C40" s="37" t="str">
        <x:v>Trading fees are already in net contribution. External bot costs must exclude costs already debited from venue balances. Actual execution prices already incorporate their price effect.</x:v>
      </x:c>
      <x:c r="D40" s="3"/>
      <x:c r="E40" s="3"/>
      <x:c r="F40" s="3"/>
      <x:c r="G40" s="3"/>
      <x:c r="H40" s="3"/>
    </x:row>
    <x:row r="41" ht="27" customHeight="1">
      <x:c r="A41" s="3"/>
      <x:c r="B41" s="15" t="str">
        <x:v>Practical limits</x:v>
      </x:c>
      <x:c r="C41" s="40"/>
      <x:c r="D41" s="3"/>
      <x:c r="E41" s="3"/>
      <x:c r="F41" s="3"/>
      <x:c r="G41" s="3"/>
      <x:c r="H41" s="3"/>
    </x:row>
    <x:row r="42" ht="40" customHeight="1">
      <x:c r="A42" s="3"/>
      <x:c r="B42" s="31" t="str">
        <x:v>Arithmetical limitations</x:v>
      </x:c>
      <x:c r="C42" s="37" t="str">
        <x:v>A positive planning value or a break-even count does not establish authority, executable depth, adequate working capital, achievable fill volume, profitability or suitability.</x:v>
      </x:c>
      <x:c r="D42" s="3"/>
      <x:c r="E42" s="3"/>
      <x:c r="F42" s="3"/>
      <x:c r="G42" s="3"/>
      <x:c r="H42" s="3"/>
    </x:row>
    <x:row r="43" ht="40" customHeight="1">
      <x:c r="A43" s="3"/>
      <x:c r="B43" s="31" t="str">
        <x:v>When an input is missing</x:v>
      </x:c>
      <x:c r="C43" s="37" t="str">
        <x:v>Numeric blanks return n.a. or a missing-input message. A real zero remains zero. Reconcile a balance mismatch or an unknown request before further quoting.</x:v>
      </x:c>
      <x:c r="D43" s="3"/>
      <x:c r="E43" s="3"/>
      <x:c r="F43" s="3"/>
      <x:c r="G43" s="3"/>
      <x:c r="H43" s="3"/>
    </x:row>
    <x:row r="44" ht="51" customHeight="1">
      <x:c r="A44" s="3"/>
      <x:c r="B44" s="31" t="str">
        <x:v>Using the example at scale</x:v>
      </x:c>
      <x:c r="C44" s="37" t="str">
        <x:v>The workbook has no live connections, macros or credentials. It does not enforce trading permissions. Actual lot sizes, price ticks, minimum notionals and venue restrictions require separate checks.</x:v>
      </x:c>
      <x:c r="D44" s="3"/>
      <x:c r="E44" s="3"/>
      <x:c r="F44" s="3"/>
      <x:c r="G44" s="3"/>
      <x:c r="H44" s="3"/>
    </x:row>
    <x:row r="45" ht="51" customHeight="1">
      <x:c r="A45" s="3"/>
      <x:c r="B45" s="31" t="str">
        <x:v>Calculation setting</x:v>
      </x:c>
      <x:c r="C45" s="37" t="str">
        <x:v>Open in a spreadsheet application with automatic calculation enabled. The delivered formulas were recalculated and checked in the authoring engine; native Excel execution was not tested.</x:v>
      </x:c>
      <x:c r="D45" s="3"/>
      <x:c r="E45" s="3"/>
      <x:c r="F45" s="3"/>
      <x:c r="G45" s="3"/>
      <x:c r="H45" s="3"/>
    </x:row>
    <x:row r="46" ht="24" customHeight="1">
      <x:c r="A46" s="3"/>
      <x:c r="B46" s="3"/>
      <x:c r="C46" s="37"/>
      <x:c r="D46" s="3"/>
      <x:c r="E46" s="3"/>
      <x:c r="F46" s="3"/>
      <x:c r="G46" s="3"/>
      <x:c r="H46" s="3"/>
    </x:row>
    <x:row r="47" ht="30" customHeight="1">
      <x:c r="A47" s="3"/>
      <x:c r="B47" s="31" t="str">
        <x:v>Version</x:v>
      </x:c>
      <x:c r="C47" s="37" t="str">
        <x:v>Version 1.0. Prepared 20 October 2026. Sources checked on that date.</x:v>
      </x:c>
      <x:c r="D47" s="3"/>
      <x:c r="E47" s="3"/>
      <x:c r="F47" s="3"/>
      <x:c r="G47" s="3"/>
      <x:c r="H47" s="3"/>
    </x:row>
    <x:row r="48" ht="24" customHeight="1">
      <x:c r="A48" s="3"/>
      <x:c r="B48" s="3"/>
      <x:c r="C48" s="37"/>
      <x:c r="D48" s="3"/>
      <x:c r="E48" s="3"/>
      <x:c r="F48" s="3"/>
      <x:c r="G48" s="3"/>
      <x:c r="H48" s="3"/>
    </x:row>
    <x:row r="49" ht="24" customHeight="1">
      <x:c r="A49" s="3"/>
      <x:c r="B49" s="3"/>
      <x:c r="C49" s="37"/>
      <x:c r="D49" s="3"/>
      <x:c r="E49" s="3"/>
      <x:c r="F49" s="3"/>
      <x:c r="G49" s="3"/>
      <x:c r="H49" s="3"/>
    </x:row>
    <x:row r="50" ht="24" customHeight="1">
      <x:c r="A50" s="3"/>
      <x:c r="B50" s="3"/>
      <x:c r="C50" s="37"/>
      <x:c r="D50" s="3"/>
      <x:c r="E50" s="3"/>
      <x:c r="F50" s="3"/>
      <x:c r="G50" s="3"/>
      <x:c r="H50" s="3"/>
    </x:row>
  </x:sheetData>
  <x:pageMargins left="0.7" right="0.7" top="0.75" bottom="0.75" header="0.3" footer="0.3"/>
</x:worksheet>
</file>